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1580" windowHeight="5850" tabRatio="712" firstSheet="2" activeTab="7"/>
  </bookViews>
  <sheets>
    <sheet name="CONDICIONES" sheetId="1" r:id="rId1"/>
    <sheet name="FLUJO MENSUAL" sheetId="2" r:id="rId2"/>
    <sheet name="FLUJO ANUAL" sheetId="3" r:id="rId3"/>
    <sheet name="PAGOS MENSUALES" sheetId="4" r:id="rId4"/>
    <sheet name="PAGOS ANUALES" sheetId="5" r:id="rId5"/>
    <sheet name="PAGOS A PROVINCIA U OTROS" sheetId="6" r:id="rId6"/>
    <sheet name="RETENCIONES PARTICIPACIÓN" sheetId="7" r:id="rId7"/>
    <sheet name="STOCK X ORIGEN" sheetId="8" r:id="rId8"/>
    <sheet name="STOCK DESAG. X MUN" sheetId="9" r:id="rId9"/>
    <sheet name="STOCK x MUNICIPIO" sheetId="10" r:id="rId10"/>
    <sheet name="STOCK X TIPO DEUDA" sheetId="11" r:id="rId11"/>
    <sheet name="COMPARATIVA 2007-20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xlnm.Print_Area" localSheetId="11">'COMPARATIVA 2007-2011'!$A$1:$L$66</definedName>
    <definedName name="_xlnm.Print_Area" localSheetId="2">'FLUJO ANUAL'!$A$1:$AR$83</definedName>
    <definedName name="_xlnm.Print_Area" localSheetId="1">'FLUJO MENSUAL'!$A$1:$AC$78</definedName>
    <definedName name="_xlnm.Print_Area" localSheetId="5">'PAGOS A PROVINCIA U OTROS'!$A$1:$H$75</definedName>
    <definedName name="_xlnm.Print_Area" localSheetId="3">'PAGOS MENSUALES'!$A$1:$AC$82</definedName>
    <definedName name="_xlnm.Print_Area" localSheetId="6">'RETENCIONES PARTICIPACIÓN'!$A$1:$J$77</definedName>
    <definedName name="_xlnm.Print_Area" localSheetId="7">'STOCK X ORIGEN'!$A$1:$K$86</definedName>
    <definedName name="_xlnm.Print_Area" localSheetId="10">'STOCK X TIPO DEUDA'!$A$1:$L$76</definedName>
    <definedName name="_xlnm.Print_Titles" localSheetId="2">'FLUJO ANUAL'!$A:$A</definedName>
    <definedName name="_xlnm.Print_Titles" localSheetId="1">'FLUJO MENSUAL'!$A:$A</definedName>
    <definedName name="_xlnm.Print_Titles" localSheetId="3">'PAGOS MENSUALES'!$A:$A</definedName>
  </definedNames>
  <calcPr fullCalcOnLoad="1"/>
</workbook>
</file>

<file path=xl/sharedStrings.xml><?xml version="1.0" encoding="utf-8"?>
<sst xmlns="http://schemas.openxmlformats.org/spreadsheetml/2006/main" count="1868" uniqueCount="327">
  <si>
    <t>CONCEPTO</t>
  </si>
  <si>
    <t>Capital</t>
  </si>
  <si>
    <t>Intereses</t>
  </si>
  <si>
    <t>Maipú</t>
  </si>
  <si>
    <t>San Rafael</t>
  </si>
  <si>
    <t>Malargue</t>
  </si>
  <si>
    <t>Tupungato</t>
  </si>
  <si>
    <t>Rivadavia</t>
  </si>
  <si>
    <t>Luján</t>
  </si>
  <si>
    <t>Lavalle</t>
  </si>
  <si>
    <t>Santa Rosa</t>
  </si>
  <si>
    <t>Tunuyán</t>
  </si>
  <si>
    <t>San Martín</t>
  </si>
  <si>
    <t>Las Heras</t>
  </si>
  <si>
    <t>La Paz</t>
  </si>
  <si>
    <t>Junín</t>
  </si>
  <si>
    <t>Guaymallén</t>
  </si>
  <si>
    <t>DECRETO</t>
  </si>
  <si>
    <t>FECHA CONVENIO</t>
  </si>
  <si>
    <t>MUNICIPALIDAD</t>
  </si>
  <si>
    <t>Amortización</t>
  </si>
  <si>
    <t>General Alvear</t>
  </si>
  <si>
    <t>Godoy Cruz</t>
  </si>
  <si>
    <t>San Carlos</t>
  </si>
  <si>
    <t>1.1</t>
  </si>
  <si>
    <t>1.2</t>
  </si>
  <si>
    <t>1.3</t>
  </si>
  <si>
    <t>Canje Entidades Financieras</t>
  </si>
  <si>
    <t>Refinanciación del F.I.P.</t>
  </si>
  <si>
    <t>MONEDA</t>
  </si>
  <si>
    <t>Pesos</t>
  </si>
  <si>
    <t>u$s</t>
  </si>
  <si>
    <t>2.1</t>
  </si>
  <si>
    <t>2.2</t>
  </si>
  <si>
    <t>3.1</t>
  </si>
  <si>
    <t>3.3</t>
  </si>
  <si>
    <t>3.4</t>
  </si>
  <si>
    <t>3.2</t>
  </si>
  <si>
    <t>4.1</t>
  </si>
  <si>
    <t>4.2</t>
  </si>
  <si>
    <t>4.3</t>
  </si>
  <si>
    <t>5.1</t>
  </si>
  <si>
    <t>5.2</t>
  </si>
  <si>
    <t>6.1</t>
  </si>
  <si>
    <t>6.2</t>
  </si>
  <si>
    <t>7.1</t>
  </si>
  <si>
    <t>7.2</t>
  </si>
  <si>
    <t>8.1</t>
  </si>
  <si>
    <t>8.2</t>
  </si>
  <si>
    <t>9.2</t>
  </si>
  <si>
    <t>9.3</t>
  </si>
  <si>
    <t>10.3</t>
  </si>
  <si>
    <t>11.1</t>
  </si>
  <si>
    <t>12.1</t>
  </si>
  <si>
    <t>13.1</t>
  </si>
  <si>
    <t>12.3</t>
  </si>
  <si>
    <t>12.2</t>
  </si>
  <si>
    <t>14.2</t>
  </si>
  <si>
    <t>15.2</t>
  </si>
  <si>
    <t>15.3</t>
  </si>
  <si>
    <t>15.1</t>
  </si>
  <si>
    <t>16.1</t>
  </si>
  <si>
    <t>16.2</t>
  </si>
  <si>
    <t>16.3</t>
  </si>
  <si>
    <t>17.1</t>
  </si>
  <si>
    <t>17.2</t>
  </si>
  <si>
    <t>17.3</t>
  </si>
  <si>
    <t>18.1</t>
  </si>
  <si>
    <t>10.4</t>
  </si>
  <si>
    <t>10.5</t>
  </si>
  <si>
    <t>1º Vto.</t>
  </si>
  <si>
    <t>Cuotas</t>
  </si>
  <si>
    <t>TASA</t>
  </si>
  <si>
    <t>Francés</t>
  </si>
  <si>
    <t>Alemán</t>
  </si>
  <si>
    <t>Refinanciación en dólares</t>
  </si>
  <si>
    <t>Refinanciación en pesos</t>
  </si>
  <si>
    <t>Préstamo BID-BIRF-Gas</t>
  </si>
  <si>
    <t>Interes</t>
  </si>
  <si>
    <t>MONTO ORIGEN</t>
  </si>
  <si>
    <t>(1)</t>
  </si>
  <si>
    <t>(2) + 4,75%</t>
  </si>
  <si>
    <t>(2) + 5,50%</t>
  </si>
  <si>
    <t>PRESTAMOS TOMADOS EN PESOS</t>
  </si>
  <si>
    <t>Maipu</t>
  </si>
  <si>
    <t>DE LA DEUDA PUBLICA</t>
  </si>
  <si>
    <t>MINISTERIO DE HACIENDA</t>
  </si>
  <si>
    <t>MUNICIPIOS</t>
  </si>
  <si>
    <t xml:space="preserve">DIRECCION GENERAL  </t>
  </si>
  <si>
    <t xml:space="preserve"> GOBIERNO DE MENDOZA</t>
  </si>
  <si>
    <t>CONDICIONES DE LA DEUDA</t>
  </si>
  <si>
    <t>Sist. Amort.</t>
  </si>
  <si>
    <t>Últ.Vto.</t>
  </si>
  <si>
    <t>TOTAL GENERAL</t>
  </si>
  <si>
    <t>DEUDA TOMADA EN PESOS</t>
  </si>
  <si>
    <t>Tunuyan</t>
  </si>
  <si>
    <t>DEUDA TOMADA EN DOLARES</t>
  </si>
  <si>
    <t>ACREEDOR</t>
  </si>
  <si>
    <t>GOBIERNO DE MENDOZA</t>
  </si>
  <si>
    <t>TOTAL SEMEST.</t>
  </si>
  <si>
    <t>SEGUNDO SEMESTRE</t>
  </si>
  <si>
    <t>PRIMER SEMESTRE</t>
  </si>
  <si>
    <t>Amort.</t>
  </si>
  <si>
    <t>TOTAL ANUAL</t>
  </si>
  <si>
    <t>FLUJO MENSUAL DE LA DEUDA</t>
  </si>
  <si>
    <t>San Martin</t>
  </si>
  <si>
    <t xml:space="preserve"> O.Cptos.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</si>
  <si>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</si>
  <si>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</si>
  <si>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</si>
  <si>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</si>
  <si>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</si>
  <si>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</si>
  <si>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</si>
  <si>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</si>
  <si>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</si>
  <si>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</si>
  <si>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</si>
  <si>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</si>
  <si>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FLUJO ANUAL DE LA DEUDA</t>
  </si>
  <si>
    <t>TOTAL DEUDA EN DÓLARES</t>
  </si>
  <si>
    <t>TOTAL DEUDA EN PESOS</t>
  </si>
  <si>
    <t>Refinanciacion en dolares</t>
  </si>
  <si>
    <t>BID - BIRF - Catastro</t>
  </si>
  <si>
    <t>BID - BIRF - Gas</t>
  </si>
  <si>
    <t>Compras Bienes de Capital</t>
  </si>
  <si>
    <t>Guaymallen</t>
  </si>
  <si>
    <t>Junin</t>
  </si>
  <si>
    <t>Lujan</t>
  </si>
  <si>
    <t>Préstamo Banco Nación Arg.</t>
  </si>
  <si>
    <t>Refinanciacion en pesos</t>
  </si>
  <si>
    <t>ENOHSA</t>
  </si>
  <si>
    <t>EN PESOS</t>
  </si>
  <si>
    <t>PRESTAMOS TOMADOS EN DOLARES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</si>
  <si>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</si>
  <si>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</si>
  <si>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</si>
  <si>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</si>
  <si>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</si>
  <si>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</si>
  <si>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</si>
  <si>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</si>
  <si>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</si>
  <si>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</si>
  <si>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TOMADOS EN DOLARES</t>
  </si>
  <si>
    <t>$</t>
  </si>
  <si>
    <t>CER</t>
  </si>
  <si>
    <t>DEUDA CON OTRAS ENTIDADES</t>
  </si>
  <si>
    <t>Cuatrimestral</t>
  </si>
  <si>
    <t>Mensual</t>
  </si>
  <si>
    <t>Trimestral</t>
  </si>
  <si>
    <t>TOTAL</t>
  </si>
  <si>
    <t>MUNICIPIO</t>
  </si>
  <si>
    <t>TOTAL DE LA DEUDA EN</t>
  </si>
  <si>
    <t>TOTAL DE LA DEUDA</t>
  </si>
  <si>
    <t>PESOS</t>
  </si>
  <si>
    <t>DOLARES</t>
  </si>
  <si>
    <t>PESIFICADA</t>
  </si>
  <si>
    <t>DOLARIZADA</t>
  </si>
  <si>
    <t>PARCIAL</t>
  </si>
  <si>
    <t>PORCENTAJE</t>
  </si>
  <si>
    <t>DEUDA CON LA PROVINCIA</t>
  </si>
  <si>
    <t>Tomada en pesos</t>
  </si>
  <si>
    <t>Tomada en dólares</t>
  </si>
  <si>
    <t>DEUDA CON ENTIDADES FINANCIERAS</t>
  </si>
  <si>
    <t>Period de pago</t>
  </si>
  <si>
    <t>STOCK DOLARIZADO</t>
  </si>
  <si>
    <t>MONTO ORIGEN AUTORIZADO</t>
  </si>
  <si>
    <t>TOTAL DEUDA</t>
  </si>
  <si>
    <t>14.3</t>
  </si>
  <si>
    <t>Cot. U$S =</t>
  </si>
  <si>
    <t>MONTO RECIBIDO O REFINANCIADO</t>
  </si>
  <si>
    <t>STOCK EN PESOS</t>
  </si>
  <si>
    <t>Refinanciacion en dólares</t>
  </si>
  <si>
    <t>TOTAL SERVICIOS ANUALES</t>
  </si>
  <si>
    <t>Badlar+4</t>
  </si>
  <si>
    <t>10.6</t>
  </si>
  <si>
    <t>15.6</t>
  </si>
  <si>
    <t>9.4</t>
  </si>
  <si>
    <t>Otras Entidades</t>
  </si>
  <si>
    <t>ORIGEN</t>
  </si>
  <si>
    <t>STOCK POR</t>
  </si>
  <si>
    <t>STOCK POR TIPO</t>
  </si>
  <si>
    <t>DE DEUDA</t>
  </si>
  <si>
    <t>18.2</t>
  </si>
  <si>
    <t>Porc.</t>
  </si>
  <si>
    <t>Part.</t>
  </si>
  <si>
    <t>---</t>
  </si>
  <si>
    <t>--</t>
  </si>
  <si>
    <t>Compra Inmueble a la DAABO</t>
  </si>
  <si>
    <t>1.4</t>
  </si>
  <si>
    <t>2.3</t>
  </si>
  <si>
    <t>13.2</t>
  </si>
  <si>
    <t>14.4</t>
  </si>
  <si>
    <t>15.4</t>
  </si>
  <si>
    <t>16.4</t>
  </si>
  <si>
    <t>Gral Alvear</t>
  </si>
  <si>
    <t>Semestral</t>
  </si>
  <si>
    <t>Gral. Alvear</t>
  </si>
  <si>
    <t>Banco Supervielle S.A.</t>
  </si>
  <si>
    <t>Banco Nación Argentina</t>
  </si>
  <si>
    <t>Tupungato (DAABO)</t>
  </si>
  <si>
    <t>Maipú (ENOSHA)</t>
  </si>
  <si>
    <t>Capital (Supervielle)</t>
  </si>
  <si>
    <t>Banco Crediccop S.A.</t>
  </si>
  <si>
    <t>Luján (Credicoop)</t>
  </si>
  <si>
    <t>Banco Credicoop C.L.</t>
  </si>
  <si>
    <t>Banco de la Nación Argentina.</t>
  </si>
  <si>
    <t>Banco de la Nación Argentina</t>
  </si>
  <si>
    <t>Préstamo de la DAABO</t>
  </si>
  <si>
    <t>San Martin (Superville)</t>
  </si>
  <si>
    <t>14.5</t>
  </si>
  <si>
    <t>San Martín (Superville)</t>
  </si>
  <si>
    <t>set-11</t>
  </si>
  <si>
    <t>Porcentaje</t>
  </si>
  <si>
    <t>DEUDA AL</t>
  </si>
  <si>
    <t>Badlar+6,5</t>
  </si>
  <si>
    <t>STOCK AL</t>
  </si>
  <si>
    <t>RETENCIONES DE LA</t>
  </si>
  <si>
    <t>PARTICIPACIÓN MUNICIPAL</t>
  </si>
  <si>
    <t>Intereses EN U$S</t>
  </si>
  <si>
    <t>Amortización EN U$S</t>
  </si>
  <si>
    <t>MONTO EN U$S</t>
  </si>
  <si>
    <t>SALDO POSTERIOR AL PAGO</t>
  </si>
  <si>
    <t>MONTO A RETENER EN PESOS</t>
  </si>
  <si>
    <t>1022/07</t>
  </si>
  <si>
    <t>1088/07</t>
  </si>
  <si>
    <t>2175/07</t>
  </si>
  <si>
    <t>2678/07</t>
  </si>
  <si>
    <t>2679/07</t>
  </si>
  <si>
    <t>3105/07</t>
  </si>
  <si>
    <t xml:space="preserve">San Martín </t>
  </si>
  <si>
    <t>188/08</t>
  </si>
  <si>
    <t>541/08</t>
  </si>
  <si>
    <t>3316/08</t>
  </si>
  <si>
    <t>3730/08</t>
  </si>
  <si>
    <t>3739/08</t>
  </si>
  <si>
    <t>3903/08</t>
  </si>
  <si>
    <t>Interés</t>
  </si>
  <si>
    <t>TOTAL CUOTAS EN PESOS</t>
  </si>
  <si>
    <t>3999/08</t>
  </si>
  <si>
    <t>REFINANCIACION BID-BIRF</t>
  </si>
  <si>
    <t>Cuota</t>
  </si>
  <si>
    <t xml:space="preserve">Amortización </t>
  </si>
  <si>
    <t xml:space="preserve">Intereses </t>
  </si>
  <si>
    <t>CUOTA TOTAL</t>
  </si>
  <si>
    <t>SALDO DE CAPITAL</t>
  </si>
  <si>
    <t>2939/08</t>
  </si>
  <si>
    <t>3560/08</t>
  </si>
  <si>
    <t xml:space="preserve">Santa Rosa </t>
  </si>
  <si>
    <t>CONCEPTOS / MUNICIPIOS</t>
  </si>
  <si>
    <t xml:space="preserve">                                                  CUPÓN Nro.               </t>
  </si>
  <si>
    <t>Vto.</t>
  </si>
  <si>
    <t>TOTAL CUOTA</t>
  </si>
  <si>
    <t>REFINANCIACION DEUDAS EN PESOS</t>
  </si>
  <si>
    <t>Cotización día:</t>
  </si>
  <si>
    <t>COMPRA BIENES DE CAPITAL - LEY 7883</t>
  </si>
  <si>
    <t>CANJE CON ENTIDADES FINANCIERAS</t>
  </si>
  <si>
    <t>PROVINCIA vs. TOTAL (en %)</t>
  </si>
  <si>
    <t>PAGOS DE LOS MUNICIPIOS A LA PROVINCIA</t>
  </si>
  <si>
    <t>TOTALES</t>
  </si>
  <si>
    <t>TOTALES DE SERVICIOS</t>
  </si>
  <si>
    <t>PAGOS DE LOS MUNICIPIOS A OTRAS ENTIDADES</t>
  </si>
  <si>
    <t>CONTROL</t>
  </si>
  <si>
    <t>PAGOS TOTALES DE LOS MUNICIPIOS</t>
  </si>
  <si>
    <t>14,4</t>
  </si>
  <si>
    <t>2011 vs 2012</t>
  </si>
  <si>
    <t>PAGOS A LA PROVINCIA</t>
  </si>
  <si>
    <t>Y OTROS</t>
  </si>
  <si>
    <t>TOTAL 2006-2012</t>
  </si>
  <si>
    <t>ANUALES</t>
  </si>
  <si>
    <t>PAGOS A LA FECHA</t>
  </si>
  <si>
    <t>4.4</t>
  </si>
  <si>
    <t>Badlar + 4</t>
  </si>
  <si>
    <t>set-12</t>
  </si>
  <si>
    <t>Prestamo Banco Nacion Arg.</t>
  </si>
  <si>
    <t>PAGOS MENSUALES</t>
  </si>
  <si>
    <t>PAGOS ANUALES</t>
  </si>
  <si>
    <t>Indice Base al 04-02-02</t>
  </si>
  <si>
    <t>Índice al 04-09-02 (Capitalización)</t>
  </si>
  <si>
    <t>Deuda Refinanciada al 04-02-02</t>
  </si>
  <si>
    <t>Deuda Refinanciada (Capitalizada al 04-09-02)</t>
  </si>
  <si>
    <t>Deuda Capitalizada al 04-09-02 - Residual (Previo Liquidación)</t>
  </si>
  <si>
    <t>Interés (2 %)</t>
  </si>
  <si>
    <t>Amortización (0,6%)</t>
  </si>
  <si>
    <t>Deuda Capitalizada al 04-09-02 - Residual (Posterior al Pago)</t>
  </si>
  <si>
    <t>listo</t>
  </si>
  <si>
    <t>Deuda Actualizada al 04 de agosto de 2012 (Previo Liquidación)</t>
  </si>
  <si>
    <t>Deuda Actualizada al 04 de agosto de 2012 (Posterior al Pago)</t>
  </si>
  <si>
    <t>Ajuste (128,6731634%)</t>
  </si>
  <si>
    <t>Índice utilizado vencimiento 04 de agosto de 2012</t>
  </si>
  <si>
    <t>3.5</t>
  </si>
  <si>
    <t>AÑO 2022</t>
  </si>
  <si>
    <t>AÑO 2023</t>
  </si>
  <si>
    <t>AÑO 2024</t>
  </si>
  <si>
    <t>AÑO 2025</t>
  </si>
  <si>
    <t>AÑO 2026</t>
  </si>
  <si>
    <t>AÑO 2027</t>
  </si>
  <si>
    <t>AÑO 2028</t>
  </si>
  <si>
    <t>AÑO 2029</t>
  </si>
  <si>
    <t>AÑO 2030</t>
  </si>
  <si>
    <t>1146/12</t>
  </si>
  <si>
    <t>2012 - 2018</t>
  </si>
  <si>
    <t>2019 - 2026</t>
  </si>
  <si>
    <t>2027 - 2030</t>
  </si>
  <si>
    <t>STOCK DESAGREGADO</t>
  </si>
  <si>
    <t>POR MUNICIPIOS</t>
  </si>
  <si>
    <t>COMPARATIVA STOCK</t>
  </si>
  <si>
    <t>DIC-2011, ACTUAL Y DIC-2015 (Estimado)</t>
  </si>
  <si>
    <t>Godoy Cruz (*)</t>
  </si>
  <si>
    <r>
      <t xml:space="preserve">(*) Desendeudamiento (Condiciones Decreto Nacional Nº 660/2010) </t>
    </r>
    <r>
      <rPr>
        <b/>
        <sz val="9"/>
        <rFont val="Arial"/>
        <family val="2"/>
      </rPr>
      <t>Canje Entidades Financieras</t>
    </r>
  </si>
  <si>
    <t>Provincia</t>
  </si>
  <si>
    <t>SALDO ACTUAL</t>
  </si>
  <si>
    <t>Compra Inmueble</t>
  </si>
  <si>
    <t>PRÉSTAMOS OTORGADOS POR ENTIDADES NACIONALES Y BANCA PRIVADA</t>
  </si>
  <si>
    <t>PRÉSTAMOS OTORGADOS POR LA PROVINCIA</t>
  </si>
  <si>
    <t>40°</t>
  </si>
  <si>
    <t>Nota: Los índices corresponden a cinco días hábiles anteriores</t>
  </si>
  <si>
    <t>TOTAL CUOTAS</t>
  </si>
  <si>
    <t>TOTAL CUOTA POR MUNICIPIO</t>
  </si>
  <si>
    <t>41°</t>
  </si>
  <si>
    <t xml:space="preserve">                                                  CUPÓN Nro.     123</t>
  </si>
  <si>
    <t>Índice utilizado vencimiento 04 de diciembre de 2012</t>
  </si>
  <si>
    <t>Deuda Actualizada al 04 de diciembre de 2012 (Previo Liquidación)</t>
  </si>
  <si>
    <t>Deuda Actualizada al 04 de diciembre de 2012 (Posterior al Pago)</t>
  </si>
  <si>
    <t>Datos provisorios al 30/11/12</t>
  </si>
  <si>
    <t>ENE - JUN 2012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</si>
</sst>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#,##0_ ;[Red]\-#,##0\ "/>
    <numFmt numFmtId="174" formatCode="[$-C0A]d\-mmm\-yy;@"/>
    <numFmt numFmtId="175" formatCode="0.0000"/>
    <numFmt numFmtId="176" formatCode="#,###.00\ \ \ \(\2\)"/>
    <numFmt numFmtId="177" formatCode="[$-C0A]mmm\-yy;@"/>
    <numFmt numFmtId="178" formatCode="#,###.00\ \ \ \(\1\)"/>
    <numFmt numFmtId="179" formatCode="[$-C0A]mmmm\-yy;@"/>
    <numFmt numFmtId="180" formatCode="0.000"/>
    <numFmt numFmtId="181" formatCode="[$-2C0A]dddd\,\ dd&quot; de &quot;mmmm&quot; de &quot;yyyy"/>
    <numFmt numFmtId="182" formatCode="&quot;$&quot;\ #,##0.00"/>
    <numFmt numFmtId="183" formatCode="0.0%"/>
    <numFmt numFmtId="184" formatCode="#,##0.0"/>
    <numFmt numFmtId="185" formatCode="&quot;$&quot;\ #,##0.000"/>
    <numFmt numFmtId="186" formatCode="&quot;$&quot;\ #,##0.0"/>
    <numFmt numFmtId="187" formatCode="&quot;$&quot;\ #,##0.0000"/>
    <numFmt numFmtId="188" formatCode="#,##0.0_ ;[Red]\-#,##0.0\ "/>
    <numFmt numFmtId="189" formatCode="#,##0.000"/>
    <numFmt numFmtId="190" formatCode="#,##0.0000"/>
    <numFmt numFmtId="191" formatCode="#,##0.000_ ;[Red]\-#,##0.000\ "/>
    <numFmt numFmtId="192" formatCode="0.0000_ ;[Red]\-0.0000\ "/>
    <numFmt numFmtId="193" formatCode="#,##0.0000_ ;[Red]\-#,##0.0000\ "/>
    <numFmt numFmtId="194" formatCode="dd\-mm\-yy;@"/>
    <numFmt numFmtId="195" formatCode="#,##0.00000"/>
    <numFmt numFmtId="196" formatCode="#,##0.000000"/>
    <numFmt numFmtId="197" formatCode="#,##0.0000000"/>
    <numFmt numFmtId="198" formatCode="#,##0.00000000"/>
    <numFmt numFmtId="199" formatCode="#,##0.00000_ ;[Red]\-#,##0.00000\ "/>
    <numFmt numFmtId="200" formatCode="#,##0.000000_ ;[Red]\-#,##0.000000\ "/>
    <numFmt numFmtId="201" formatCode="#,##0.0000000_ ;[Red]\-#,##0.0000000\ "/>
    <numFmt numFmtId="202" formatCode="#,##0.00000000_ ;[Red]\-#,##0.00000000\ 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odoni MT Black"/>
      <family val="1"/>
    </font>
    <font>
      <b/>
      <sz val="8"/>
      <name val="Arial"/>
      <family val="2"/>
    </font>
    <font>
      <b/>
      <sz val="20"/>
      <name val="Bodoni MT Black"/>
      <family val="1"/>
    </font>
    <font>
      <b/>
      <sz val="18"/>
      <name val="Bodoni MT Black"/>
      <family val="1"/>
    </font>
    <font>
      <b/>
      <sz val="12"/>
      <name val="Bodoni MT Black"/>
      <family val="1"/>
    </font>
    <font>
      <b/>
      <sz val="10"/>
      <name val="Arial Black"/>
      <family val="2"/>
    </font>
    <font>
      <b/>
      <sz val="14"/>
      <name val="Bodoni MT Black"/>
      <family val="1"/>
    </font>
    <font>
      <b/>
      <sz val="9"/>
      <name val="Arial Black"/>
      <family val="2"/>
    </font>
    <font>
      <sz val="9"/>
      <color indexed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9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0"/>
    </font>
    <font>
      <b/>
      <sz val="15.75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4"/>
        <bgColor indexed="41"/>
      </patternFill>
    </fill>
    <fill>
      <patternFill patternType="solid">
        <fgColor indexed="42"/>
        <bgColor indexed="64"/>
      </patternFill>
    </fill>
    <fill>
      <patternFill patternType="lightUp">
        <fgColor indexed="57"/>
        <bgColor indexed="42"/>
      </patternFill>
    </fill>
    <fill>
      <patternFill patternType="solid">
        <fgColor indexed="42"/>
        <bgColor indexed="64"/>
      </patternFill>
    </fill>
    <fill>
      <patternFill patternType="lightUp">
        <fgColor indexed="44"/>
        <bgColor indexed="26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" fillId="24" borderId="11" xfId="0" applyFont="1" applyFill="1" applyBorder="1" applyAlignment="1">
      <alignment horizontal="center"/>
    </xf>
    <xf numFmtId="3" fontId="0" fillId="0" borderId="0" xfId="0" applyNumberFormat="1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8" fillId="25" borderId="0" xfId="0" applyFont="1" applyFill="1" applyAlignment="1">
      <alignment horizontal="right" vertical="center"/>
    </xf>
    <xf numFmtId="0" fontId="6" fillId="25" borderId="0" xfId="0" applyFont="1" applyFill="1" applyAlignment="1">
      <alignment horizontal="center" vertical="center"/>
    </xf>
    <xf numFmtId="0" fontId="10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2" fillId="0" borderId="10" xfId="0" applyNumberFormat="1" applyFont="1" applyFill="1" applyBorder="1" applyAlignment="1">
      <alignment horizontal="center" vertical="center" wrapText="1"/>
    </xf>
    <xf numFmtId="173" fontId="1" fillId="26" borderId="12" xfId="0" applyNumberFormat="1" applyFont="1" applyFill="1" applyBorder="1" applyAlignment="1">
      <alignment/>
    </xf>
    <xf numFmtId="173" fontId="1" fillId="26" borderId="13" xfId="0" applyNumberFormat="1" applyFont="1" applyFill="1" applyBorder="1" applyAlignment="1">
      <alignment/>
    </xf>
    <xf numFmtId="0" fontId="13" fillId="25" borderId="0" xfId="0" applyFont="1" applyFill="1" applyAlignment="1">
      <alignment horizontal="center" vertical="center"/>
    </xf>
    <xf numFmtId="0" fontId="1" fillId="24" borderId="11" xfId="0" applyFont="1" applyFill="1" applyBorder="1" applyAlignment="1" applyProtection="1">
      <alignment horizontal="left"/>
      <protection/>
    </xf>
    <xf numFmtId="173" fontId="1" fillId="24" borderId="14" xfId="0" applyNumberFormat="1" applyFont="1" applyFill="1" applyBorder="1" applyAlignment="1">
      <alignment/>
    </xf>
    <xf numFmtId="173" fontId="1" fillId="24" borderId="15" xfId="0" applyNumberFormat="1" applyFont="1" applyFill="1" applyBorder="1" applyAlignment="1">
      <alignment/>
    </xf>
    <xf numFmtId="0" fontId="1" fillId="2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173" fontId="1" fillId="24" borderId="17" xfId="0" applyNumberFormat="1" applyFont="1" applyFill="1" applyBorder="1" applyAlignment="1">
      <alignment/>
    </xf>
    <xf numFmtId="173" fontId="1" fillId="24" borderId="18" xfId="0" applyNumberFormat="1" applyFont="1" applyFill="1" applyBorder="1" applyAlignment="1">
      <alignment/>
    </xf>
    <xf numFmtId="0" fontId="1" fillId="24" borderId="19" xfId="0" applyFont="1" applyFill="1" applyBorder="1" applyAlignment="1">
      <alignment horizontal="center" vertical="center"/>
    </xf>
    <xf numFmtId="1" fontId="2" fillId="26" borderId="20" xfId="0" applyNumberFormat="1" applyFont="1" applyFill="1" applyBorder="1" applyAlignment="1">
      <alignment/>
    </xf>
    <xf numFmtId="1" fontId="2" fillId="26" borderId="21" xfId="0" applyNumberFormat="1" applyFont="1" applyFill="1" applyBorder="1" applyAlignment="1">
      <alignment/>
    </xf>
    <xf numFmtId="0" fontId="1" fillId="24" borderId="22" xfId="0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7" borderId="13" xfId="0" applyNumberFormat="1" applyFont="1" applyFill="1" applyBorder="1" applyAlignment="1">
      <alignment/>
    </xf>
    <xf numFmtId="0" fontId="1" fillId="28" borderId="21" xfId="0" applyFont="1" applyFill="1" applyBorder="1" applyAlignment="1">
      <alignment horizontal="center" vertical="center"/>
    </xf>
    <xf numFmtId="0" fontId="1" fillId="29" borderId="11" xfId="0" applyFont="1" applyFill="1" applyBorder="1" applyAlignment="1">
      <alignment horizontal="left" vertical="center"/>
    </xf>
    <xf numFmtId="0" fontId="13" fillId="25" borderId="0" xfId="0" applyFont="1" applyFill="1" applyAlignment="1">
      <alignment horizontal="right" vertical="center"/>
    </xf>
    <xf numFmtId="0" fontId="13" fillId="25" borderId="0" xfId="0" applyFont="1" applyFill="1" applyAlignment="1">
      <alignment horizontal="left" vertical="center"/>
    </xf>
    <xf numFmtId="173" fontId="1" fillId="30" borderId="12" xfId="0" applyNumberFormat="1" applyFont="1" applyFill="1" applyBorder="1" applyAlignment="1">
      <alignment/>
    </xf>
    <xf numFmtId="173" fontId="1" fillId="30" borderId="13" xfId="0" applyNumberFormat="1" applyFont="1" applyFill="1" applyBorder="1" applyAlignment="1">
      <alignment/>
    </xf>
    <xf numFmtId="173" fontId="1" fillId="23" borderId="14" xfId="0" applyNumberFormat="1" applyFont="1" applyFill="1" applyBorder="1" applyAlignment="1">
      <alignment/>
    </xf>
    <xf numFmtId="173" fontId="1" fillId="23" borderId="15" xfId="0" applyNumberFormat="1" applyFont="1" applyFill="1" applyBorder="1" applyAlignment="1">
      <alignment/>
    </xf>
    <xf numFmtId="0" fontId="1" fillId="28" borderId="2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3" fontId="9" fillId="24" borderId="23" xfId="0" applyNumberFormat="1" applyFont="1" applyFill="1" applyBorder="1" applyAlignment="1">
      <alignment horizontal="center" vertical="center"/>
    </xf>
    <xf numFmtId="3" fontId="9" fillId="24" borderId="24" xfId="0" applyNumberFormat="1" applyFont="1" applyFill="1" applyBorder="1" applyAlignment="1">
      <alignment horizontal="center" vertical="center"/>
    </xf>
    <xf numFmtId="1" fontId="9" fillId="24" borderId="23" xfId="0" applyNumberFormat="1" applyFont="1" applyFill="1" applyBorder="1" applyAlignment="1">
      <alignment horizontal="center" vertical="center"/>
    </xf>
    <xf numFmtId="1" fontId="9" fillId="24" borderId="24" xfId="0" applyNumberFormat="1" applyFont="1" applyFill="1" applyBorder="1" applyAlignment="1">
      <alignment horizontal="center" vertical="center"/>
    </xf>
    <xf numFmtId="0" fontId="1" fillId="24" borderId="25" xfId="0" applyFont="1" applyFill="1" applyBorder="1" applyAlignment="1">
      <alignment horizontal="center" vertical="center"/>
    </xf>
    <xf numFmtId="3" fontId="9" fillId="24" borderId="26" xfId="0" applyNumberFormat="1" applyFont="1" applyFill="1" applyBorder="1" applyAlignment="1">
      <alignment horizontal="center" vertical="center"/>
    </xf>
    <xf numFmtId="3" fontId="9" fillId="24" borderId="27" xfId="0" applyNumberFormat="1" applyFont="1" applyFill="1" applyBorder="1" applyAlignment="1">
      <alignment horizontal="center" vertical="center"/>
    </xf>
    <xf numFmtId="1" fontId="9" fillId="24" borderId="26" xfId="0" applyNumberFormat="1" applyFont="1" applyFill="1" applyBorder="1" applyAlignment="1">
      <alignment horizontal="center" vertical="center"/>
    </xf>
    <xf numFmtId="1" fontId="9" fillId="24" borderId="27" xfId="0" applyNumberFormat="1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3" fontId="2" fillId="31" borderId="18" xfId="0" applyNumberFormat="1" applyFont="1" applyFill="1" applyBorder="1" applyAlignment="1">
      <alignment/>
    </xf>
    <xf numFmtId="3" fontId="2" fillId="31" borderId="17" xfId="0" applyNumberFormat="1" applyFont="1" applyFill="1" applyBorder="1" applyAlignment="1">
      <alignment/>
    </xf>
    <xf numFmtId="3" fontId="1" fillId="4" borderId="18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28" borderId="13" xfId="0" applyNumberFormat="1" applyFont="1" applyFill="1" applyBorder="1" applyAlignment="1">
      <alignment/>
    </xf>
    <xf numFmtId="3" fontId="1" fillId="28" borderId="12" xfId="0" applyNumberFormat="1" applyFont="1" applyFill="1" applyBorder="1" applyAlignment="1">
      <alignment/>
    </xf>
    <xf numFmtId="3" fontId="1" fillId="23" borderId="18" xfId="0" applyNumberFormat="1" applyFont="1" applyFill="1" applyBorder="1" applyAlignment="1">
      <alignment/>
    </xf>
    <xf numFmtId="3" fontId="1" fillId="23" borderId="17" xfId="0" applyNumberFormat="1" applyFont="1" applyFill="1" applyBorder="1" applyAlignment="1">
      <alignment/>
    </xf>
    <xf numFmtId="0" fontId="1" fillId="27" borderId="19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/>
      <protection/>
    </xf>
    <xf numFmtId="1" fontId="1" fillId="26" borderId="21" xfId="0" applyNumberFormat="1" applyFont="1" applyFill="1" applyBorder="1" applyAlignment="1">
      <alignment horizontal="center"/>
    </xf>
    <xf numFmtId="3" fontId="2" fillId="32" borderId="15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173" fontId="2" fillId="31" borderId="15" xfId="0" applyNumberFormat="1" applyFont="1" applyFill="1" applyBorder="1" applyAlignment="1">
      <alignment/>
    </xf>
    <xf numFmtId="173" fontId="2" fillId="31" borderId="14" xfId="0" applyNumberFormat="1" applyFont="1" applyFill="1" applyBorder="1" applyAlignment="1">
      <alignment/>
    </xf>
    <xf numFmtId="3" fontId="1" fillId="23" borderId="30" xfId="0" applyNumberFormat="1" applyFont="1" applyFill="1" applyBorder="1" applyAlignment="1">
      <alignment/>
    </xf>
    <xf numFmtId="3" fontId="1" fillId="23" borderId="14" xfId="0" applyNumberFormat="1" applyFont="1" applyFill="1" applyBorder="1" applyAlignment="1">
      <alignment/>
    </xf>
    <xf numFmtId="173" fontId="1" fillId="24" borderId="27" xfId="0" applyNumberFormat="1" applyFont="1" applyFill="1" applyBorder="1" applyAlignment="1">
      <alignment/>
    </xf>
    <xf numFmtId="173" fontId="1" fillId="24" borderId="26" xfId="0" applyNumberFormat="1" applyFont="1" applyFill="1" applyBorder="1" applyAlignment="1">
      <alignment/>
    </xf>
    <xf numFmtId="0" fontId="13" fillId="25" borderId="31" xfId="0" applyFont="1" applyFill="1" applyBorder="1" applyAlignment="1">
      <alignment horizontal="center" vertical="center"/>
    </xf>
    <xf numFmtId="173" fontId="2" fillId="32" borderId="15" xfId="0" applyNumberFormat="1" applyFont="1" applyFill="1" applyBorder="1" applyAlignment="1">
      <alignment/>
    </xf>
    <xf numFmtId="173" fontId="2" fillId="32" borderId="14" xfId="0" applyNumberFormat="1" applyFont="1" applyFill="1" applyBorder="1" applyAlignment="1">
      <alignment/>
    </xf>
    <xf numFmtId="0" fontId="1" fillId="24" borderId="32" xfId="0" applyFont="1" applyFill="1" applyBorder="1" applyAlignment="1">
      <alignment horizontal="center" vertical="center"/>
    </xf>
    <xf numFmtId="3" fontId="2" fillId="26" borderId="21" xfId="0" applyNumberFormat="1" applyFont="1" applyFill="1" applyBorder="1" applyAlignment="1">
      <alignment/>
    </xf>
    <xf numFmtId="172" fontId="12" fillId="26" borderId="21" xfId="0" applyNumberFormat="1" applyFont="1" applyFill="1" applyBorder="1" applyAlignment="1">
      <alignment horizontal="center" vertical="center"/>
    </xf>
    <xf numFmtId="0" fontId="12" fillId="28" borderId="21" xfId="0" applyFont="1" applyFill="1" applyBorder="1" applyAlignment="1">
      <alignment horizontal="center"/>
    </xf>
    <xf numFmtId="0" fontId="9" fillId="28" borderId="21" xfId="0" applyFont="1" applyFill="1" applyBorder="1" applyAlignment="1">
      <alignment horizontal="center" vertical="center"/>
    </xf>
    <xf numFmtId="0" fontId="9" fillId="28" borderId="20" xfId="0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/>
    </xf>
    <xf numFmtId="3" fontId="9" fillId="4" borderId="17" xfId="0" applyNumberFormat="1" applyFont="1" applyFill="1" applyBorder="1" applyAlignment="1">
      <alignment/>
    </xf>
    <xf numFmtId="3" fontId="3" fillId="31" borderId="18" xfId="0" applyNumberFormat="1" applyFont="1" applyFill="1" applyBorder="1" applyAlignment="1">
      <alignment/>
    </xf>
    <xf numFmtId="3" fontId="3" fillId="31" borderId="17" xfId="0" applyNumberFormat="1" applyFont="1" applyFill="1" applyBorder="1" applyAlignment="1">
      <alignment/>
    </xf>
    <xf numFmtId="3" fontId="3" fillId="32" borderId="18" xfId="0" applyNumberFormat="1" applyFont="1" applyFill="1" applyBorder="1" applyAlignment="1">
      <alignment/>
    </xf>
    <xf numFmtId="3" fontId="3" fillId="32" borderId="17" xfId="0" applyNumberFormat="1" applyFont="1" applyFill="1" applyBorder="1" applyAlignment="1">
      <alignment/>
    </xf>
    <xf numFmtId="2" fontId="9" fillId="27" borderId="13" xfId="0" applyNumberFormat="1" applyFont="1" applyFill="1" applyBorder="1" applyAlignment="1">
      <alignment/>
    </xf>
    <xf numFmtId="1" fontId="3" fillId="26" borderId="21" xfId="0" applyNumberFormat="1" applyFont="1" applyFill="1" applyBorder="1" applyAlignment="1">
      <alignment/>
    </xf>
    <xf numFmtId="1" fontId="9" fillId="26" borderId="21" xfId="0" applyNumberFormat="1" applyFont="1" applyFill="1" applyBorder="1" applyAlignment="1">
      <alignment horizontal="center"/>
    </xf>
    <xf numFmtId="1" fontId="3" fillId="26" borderId="20" xfId="0" applyNumberFormat="1" applyFont="1" applyFill="1" applyBorder="1" applyAlignment="1">
      <alignment/>
    </xf>
    <xf numFmtId="173" fontId="9" fillId="24" borderId="18" xfId="0" applyNumberFormat="1" applyFont="1" applyFill="1" applyBorder="1" applyAlignment="1">
      <alignment/>
    </xf>
    <xf numFmtId="173" fontId="9" fillId="24" borderId="17" xfId="0" applyNumberFormat="1" applyFont="1" applyFill="1" applyBorder="1" applyAlignment="1">
      <alignment/>
    </xf>
    <xf numFmtId="173" fontId="3" fillId="31" borderId="15" xfId="0" applyNumberFormat="1" applyFont="1" applyFill="1" applyBorder="1" applyAlignment="1">
      <alignment/>
    </xf>
    <xf numFmtId="173" fontId="3" fillId="31" borderId="14" xfId="0" applyNumberFormat="1" applyFont="1" applyFill="1" applyBorder="1" applyAlignment="1">
      <alignment/>
    </xf>
    <xf numFmtId="173" fontId="9" fillId="24" borderId="15" xfId="0" applyNumberFormat="1" applyFont="1" applyFill="1" applyBorder="1" applyAlignment="1">
      <alignment/>
    </xf>
    <xf numFmtId="173" fontId="9" fillId="24" borderId="14" xfId="0" applyNumberFormat="1" applyFont="1" applyFill="1" applyBorder="1" applyAlignment="1">
      <alignment/>
    </xf>
    <xf numFmtId="173" fontId="9" fillId="26" borderId="13" xfId="0" applyNumberFormat="1" applyFont="1" applyFill="1" applyBorder="1" applyAlignment="1">
      <alignment/>
    </xf>
    <xf numFmtId="173" fontId="9" fillId="26" borderId="12" xfId="0" applyNumberFormat="1" applyFont="1" applyFill="1" applyBorder="1" applyAlignment="1">
      <alignment/>
    </xf>
    <xf numFmtId="0" fontId="1" fillId="27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/>
    </xf>
    <xf numFmtId="3" fontId="9" fillId="28" borderId="20" xfId="0" applyNumberFormat="1" applyFont="1" applyFill="1" applyBorder="1" applyAlignment="1">
      <alignment/>
    </xf>
    <xf numFmtId="3" fontId="9" fillId="28" borderId="21" xfId="0" applyNumberFormat="1" applyFont="1" applyFill="1" applyBorder="1" applyAlignment="1">
      <alignment/>
    </xf>
    <xf numFmtId="174" fontId="2" fillId="0" borderId="34" xfId="0" applyNumberFormat="1" applyFont="1" applyBorder="1" applyAlignment="1">
      <alignment horizontal="center" vertical="center" wrapText="1"/>
    </xf>
    <xf numFmtId="10" fontId="2" fillId="0" borderId="34" xfId="0" applyNumberFormat="1" applyFont="1" applyBorder="1" applyAlignment="1">
      <alignment horizontal="center" vertical="center" wrapText="1"/>
    </xf>
    <xf numFmtId="173" fontId="2" fillId="0" borderId="34" xfId="0" applyNumberFormat="1" applyFont="1" applyBorder="1" applyAlignment="1">
      <alignment horizontal="center" vertical="center" wrapText="1"/>
    </xf>
    <xf numFmtId="177" fontId="2" fillId="0" borderId="34" xfId="0" applyNumberFormat="1" applyFont="1" applyFill="1" applyBorder="1" applyAlignment="1">
      <alignment horizontal="center" vertical="center" wrapText="1"/>
    </xf>
    <xf numFmtId="173" fontId="2" fillId="0" borderId="34" xfId="0" applyNumberFormat="1" applyFont="1" applyFill="1" applyBorder="1" applyAlignment="1">
      <alignment horizontal="center" vertical="center" wrapText="1"/>
    </xf>
    <xf numFmtId="1" fontId="3" fillId="33" borderId="35" xfId="0" applyNumberFormat="1" applyFont="1" applyFill="1" applyBorder="1" applyAlignment="1">
      <alignment/>
    </xf>
    <xf numFmtId="1" fontId="9" fillId="33" borderId="35" xfId="0" applyNumberFormat="1" applyFont="1" applyFill="1" applyBorder="1" applyAlignment="1">
      <alignment horizontal="center"/>
    </xf>
    <xf numFmtId="1" fontId="1" fillId="33" borderId="35" xfId="0" applyNumberFormat="1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/>
    </xf>
    <xf numFmtId="1" fontId="3" fillId="33" borderId="33" xfId="0" applyNumberFormat="1" applyFont="1" applyFill="1" applyBorder="1" applyAlignment="1">
      <alignment/>
    </xf>
    <xf numFmtId="1" fontId="9" fillId="33" borderId="33" xfId="0" applyNumberFormat="1" applyFont="1" applyFill="1" applyBorder="1" applyAlignment="1">
      <alignment horizontal="center"/>
    </xf>
    <xf numFmtId="1" fontId="1" fillId="33" borderId="33" xfId="0" applyNumberFormat="1" applyFont="1" applyFill="1" applyBorder="1" applyAlignment="1">
      <alignment horizontal="center"/>
    </xf>
    <xf numFmtId="0" fontId="9" fillId="27" borderId="35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4" borderId="37" xfId="0" applyFont="1" applyFill="1" applyBorder="1" applyAlignment="1">
      <alignment horizontal="left" vertical="center"/>
    </xf>
    <xf numFmtId="0" fontId="1" fillId="27" borderId="11" xfId="0" applyFont="1" applyFill="1" applyBorder="1" applyAlignment="1">
      <alignment vertical="center"/>
    </xf>
    <xf numFmtId="0" fontId="1" fillId="27" borderId="38" xfId="0" applyFont="1" applyFill="1" applyBorder="1" applyAlignment="1">
      <alignment vertical="center"/>
    </xf>
    <xf numFmtId="0" fontId="1" fillId="27" borderId="28" xfId="0" applyFont="1" applyFill="1" applyBorder="1" applyAlignment="1">
      <alignment vertical="center"/>
    </xf>
    <xf numFmtId="0" fontId="1" fillId="27" borderId="39" xfId="0" applyFont="1" applyFill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27" borderId="4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29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44" xfId="0" applyFont="1" applyFill="1" applyBorder="1" applyAlignment="1">
      <alignment vertical="center"/>
    </xf>
    <xf numFmtId="0" fontId="1" fillId="24" borderId="39" xfId="0" applyFont="1" applyFill="1" applyBorder="1" applyAlignment="1">
      <alignment/>
    </xf>
    <xf numFmtId="0" fontId="1" fillId="24" borderId="45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24" borderId="41" xfId="0" applyFont="1" applyFill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1" fillId="23" borderId="29" xfId="0" applyFont="1" applyFill="1" applyBorder="1" applyAlignment="1">
      <alignment horizontal="left" vertical="center"/>
    </xf>
    <xf numFmtId="0" fontId="6" fillId="24" borderId="45" xfId="0" applyFont="1" applyFill="1" applyBorder="1" applyAlignment="1">
      <alignment/>
    </xf>
    <xf numFmtId="10" fontId="2" fillId="0" borderId="46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0" fontId="2" fillId="0" borderId="47" xfId="0" applyNumberFormat="1" applyFont="1" applyBorder="1" applyAlignment="1">
      <alignment/>
    </xf>
    <xf numFmtId="10" fontId="1" fillId="23" borderId="45" xfId="0" applyNumberFormat="1" applyFont="1" applyFill="1" applyBorder="1" applyAlignment="1">
      <alignment/>
    </xf>
    <xf numFmtId="10" fontId="2" fillId="0" borderId="28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/>
    </xf>
    <xf numFmtId="14" fontId="1" fillId="4" borderId="20" xfId="0" applyNumberFormat="1" applyFont="1" applyFill="1" applyBorder="1" applyAlignment="1">
      <alignment horizontal="center" vertical="center" wrapText="1"/>
    </xf>
    <xf numFmtId="173" fontId="9" fillId="24" borderId="13" xfId="0" applyNumberFormat="1" applyFont="1" applyFill="1" applyBorder="1" applyAlignment="1">
      <alignment/>
    </xf>
    <xf numFmtId="173" fontId="9" fillId="24" borderId="12" xfId="0" applyNumberFormat="1" applyFont="1" applyFill="1" applyBorder="1" applyAlignment="1">
      <alignment/>
    </xf>
    <xf numFmtId="0" fontId="15" fillId="25" borderId="3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3" fillId="23" borderId="18" xfId="0" applyNumberFormat="1" applyFont="1" applyFill="1" applyBorder="1" applyAlignment="1">
      <alignment/>
    </xf>
    <xf numFmtId="3" fontId="3" fillId="23" borderId="17" xfId="0" applyNumberFormat="1" applyFont="1" applyFill="1" applyBorder="1" applyAlignment="1">
      <alignment/>
    </xf>
    <xf numFmtId="3" fontId="3" fillId="23" borderId="48" xfId="0" applyNumberFormat="1" applyFont="1" applyFill="1" applyBorder="1" applyAlignment="1">
      <alignment/>
    </xf>
    <xf numFmtId="3" fontId="3" fillId="23" borderId="49" xfId="0" applyNumberFormat="1" applyFont="1" applyFill="1" applyBorder="1" applyAlignment="1">
      <alignment/>
    </xf>
    <xf numFmtId="3" fontId="9" fillId="4" borderId="13" xfId="0" applyNumberFormat="1" applyFont="1" applyFill="1" applyBorder="1" applyAlignment="1">
      <alignment/>
    </xf>
    <xf numFmtId="3" fontId="9" fillId="4" borderId="12" xfId="0" applyNumberFormat="1" applyFont="1" applyFill="1" applyBorder="1" applyAlignment="1">
      <alignment/>
    </xf>
    <xf numFmtId="173" fontId="9" fillId="32" borderId="15" xfId="0" applyNumberFormat="1" applyFont="1" applyFill="1" applyBorder="1" applyAlignment="1">
      <alignment/>
    </xf>
    <xf numFmtId="173" fontId="9" fillId="32" borderId="14" xfId="0" applyNumberFormat="1" applyFont="1" applyFill="1" applyBorder="1" applyAlignment="1">
      <alignment/>
    </xf>
    <xf numFmtId="173" fontId="9" fillId="0" borderId="21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1" fillId="36" borderId="31" xfId="0" applyFont="1" applyFill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37" borderId="29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4" borderId="41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172" fontId="1" fillId="4" borderId="52" xfId="0" applyNumberFormat="1" applyFont="1" applyFill="1" applyBorder="1" applyAlignment="1">
      <alignment vertical="center"/>
    </xf>
    <xf numFmtId="172" fontId="1" fillId="4" borderId="10" xfId="0" applyNumberFormat="1" applyFont="1" applyFill="1" applyBorder="1" applyAlignment="1">
      <alignment vertical="center"/>
    </xf>
    <xf numFmtId="172" fontId="1" fillId="28" borderId="31" xfId="0" applyNumberFormat="1" applyFont="1" applyFill="1" applyBorder="1" applyAlignment="1">
      <alignment vertical="center"/>
    </xf>
    <xf numFmtId="172" fontId="1" fillId="33" borderId="52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vertical="center"/>
    </xf>
    <xf numFmtId="172" fontId="1" fillId="26" borderId="31" xfId="0" applyNumberFormat="1" applyFont="1" applyFill="1" applyBorder="1" applyAlignment="1">
      <alignment vertical="center"/>
    </xf>
    <xf numFmtId="0" fontId="9" fillId="28" borderId="11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/>
    </xf>
    <xf numFmtId="0" fontId="9" fillId="0" borderId="54" xfId="0" applyFont="1" applyBorder="1" applyAlignment="1">
      <alignment horizontal="center" vertical="center"/>
    </xf>
    <xf numFmtId="179" fontId="2" fillId="0" borderId="55" xfId="0" applyNumberFormat="1" applyFont="1" applyFill="1" applyBorder="1" applyAlignment="1">
      <alignment horizontal="center" vertical="center" wrapText="1"/>
    </xf>
    <xf numFmtId="1" fontId="3" fillId="26" borderId="11" xfId="0" applyNumberFormat="1" applyFont="1" applyFill="1" applyBorder="1" applyAlignment="1">
      <alignment/>
    </xf>
    <xf numFmtId="1" fontId="3" fillId="33" borderId="53" xfId="0" applyNumberFormat="1" applyFont="1" applyFill="1" applyBorder="1" applyAlignment="1">
      <alignment/>
    </xf>
    <xf numFmtId="173" fontId="3" fillId="23" borderId="18" xfId="0" applyNumberFormat="1" applyFont="1" applyFill="1" applyBorder="1" applyAlignment="1">
      <alignment/>
    </xf>
    <xf numFmtId="173" fontId="3" fillId="23" borderId="17" xfId="0" applyNumberFormat="1" applyFont="1" applyFill="1" applyBorder="1" applyAlignment="1">
      <alignment/>
    </xf>
    <xf numFmtId="3" fontId="1" fillId="37" borderId="5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29" borderId="11" xfId="0" applyFont="1" applyFill="1" applyBorder="1" applyAlignment="1">
      <alignment vertical="center"/>
    </xf>
    <xf numFmtId="0" fontId="1" fillId="27" borderId="44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1" fillId="27" borderId="45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1" fillId="24" borderId="44" xfId="0" applyFont="1" applyFill="1" applyBorder="1" applyAlignment="1">
      <alignment/>
    </xf>
    <xf numFmtId="0" fontId="2" fillId="0" borderId="45" xfId="0" applyFont="1" applyFill="1" applyBorder="1" applyAlignment="1">
      <alignment vertical="center"/>
    </xf>
    <xf numFmtId="0" fontId="12" fillId="28" borderId="21" xfId="0" applyFont="1" applyFill="1" applyBorder="1" applyAlignment="1">
      <alignment horizontal="center" vertical="center"/>
    </xf>
    <xf numFmtId="14" fontId="1" fillId="4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3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Fill="1" applyBorder="1" applyAlignment="1">
      <alignment/>
    </xf>
    <xf numFmtId="3" fontId="1" fillId="38" borderId="56" xfId="0" applyNumberFormat="1" applyFont="1" applyFill="1" applyBorder="1" applyAlignment="1">
      <alignment vertical="center"/>
    </xf>
    <xf numFmtId="3" fontId="1" fillId="24" borderId="32" xfId="0" applyNumberFormat="1" applyFont="1" applyFill="1" applyBorder="1" applyAlignment="1">
      <alignment vertical="center"/>
    </xf>
    <xf numFmtId="3" fontId="1" fillId="39" borderId="56" xfId="0" applyNumberFormat="1" applyFont="1" applyFill="1" applyBorder="1" applyAlignment="1">
      <alignment vertical="center"/>
    </xf>
    <xf numFmtId="3" fontId="1" fillId="4" borderId="32" xfId="0" applyNumberFormat="1" applyFont="1" applyFill="1" applyBorder="1" applyAlignment="1">
      <alignment vertical="center"/>
    </xf>
    <xf numFmtId="3" fontId="2" fillId="4" borderId="5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24" borderId="11" xfId="0" applyNumberFormat="1" applyFont="1" applyFill="1" applyBorder="1" applyAlignment="1">
      <alignment vertical="center"/>
    </xf>
    <xf numFmtId="3" fontId="1" fillId="4" borderId="3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3" fontId="1" fillId="23" borderId="44" xfId="0" applyNumberFormat="1" applyFont="1" applyFill="1" applyBorder="1" applyAlignment="1">
      <alignment vertical="center"/>
    </xf>
    <xf numFmtId="3" fontId="1" fillId="24" borderId="45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1" fillId="23" borderId="45" xfId="0" applyNumberFormat="1" applyFont="1" applyFill="1" applyBorder="1" applyAlignment="1">
      <alignment vertical="center"/>
    </xf>
    <xf numFmtId="3" fontId="1" fillId="4" borderId="43" xfId="0" applyNumberFormat="1" applyFont="1" applyFill="1" applyBorder="1" applyAlignment="1">
      <alignment vertical="center"/>
    </xf>
    <xf numFmtId="3" fontId="1" fillId="24" borderId="43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3" fontId="1" fillId="4" borderId="39" xfId="0" applyNumberFormat="1" applyFont="1" applyFill="1" applyBorder="1" applyAlignment="1">
      <alignment vertical="center"/>
    </xf>
    <xf numFmtId="3" fontId="1" fillId="24" borderId="39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1" fillId="24" borderId="3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1" fillId="24" borderId="21" xfId="0" applyNumberFormat="1" applyFont="1" applyFill="1" applyBorder="1" applyAlignment="1">
      <alignment vertical="center" wrapText="1"/>
    </xf>
    <xf numFmtId="3" fontId="1" fillId="24" borderId="20" xfId="0" applyNumberFormat="1" applyFont="1" applyFill="1" applyBorder="1" applyAlignment="1">
      <alignment vertical="center" wrapText="1"/>
    </xf>
    <xf numFmtId="3" fontId="1" fillId="24" borderId="63" xfId="0" applyNumberFormat="1" applyFont="1" applyFill="1" applyBorder="1" applyAlignment="1">
      <alignment vertical="center"/>
    </xf>
    <xf numFmtId="3" fontId="1" fillId="4" borderId="63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" fillId="23" borderId="29" xfId="0" applyFont="1" applyFill="1" applyBorder="1" applyAlignment="1">
      <alignment vertical="center" wrapText="1"/>
    </xf>
    <xf numFmtId="0" fontId="1" fillId="23" borderId="25" xfId="0" applyFont="1" applyFill="1" applyBorder="1" applyAlignment="1">
      <alignment vertical="center" wrapText="1"/>
    </xf>
    <xf numFmtId="3" fontId="1" fillId="23" borderId="63" xfId="0" applyNumberFormat="1" applyFont="1" applyFill="1" applyBorder="1" applyAlignment="1">
      <alignment vertical="center"/>
    </xf>
    <xf numFmtId="10" fontId="1" fillId="23" borderId="63" xfId="0" applyNumberFormat="1" applyFont="1" applyFill="1" applyBorder="1" applyAlignment="1">
      <alignment vertical="center"/>
    </xf>
    <xf numFmtId="10" fontId="1" fillId="24" borderId="39" xfId="0" applyNumberFormat="1" applyFont="1" applyFill="1" applyBorder="1" applyAlignment="1">
      <alignment vertical="center"/>
    </xf>
    <xf numFmtId="10" fontId="1" fillId="23" borderId="39" xfId="0" applyNumberFormat="1" applyFont="1" applyFill="1" applyBorder="1" applyAlignment="1">
      <alignment vertical="center"/>
    </xf>
    <xf numFmtId="0" fontId="2" fillId="0" borderId="64" xfId="0" applyFont="1" applyBorder="1" applyAlignment="1">
      <alignment horizontal="left" vertical="center"/>
    </xf>
    <xf numFmtId="3" fontId="2" fillId="0" borderId="64" xfId="0" applyNumberFormat="1" applyFont="1" applyFill="1" applyBorder="1" applyAlignment="1">
      <alignment vertical="center"/>
    </xf>
    <xf numFmtId="173" fontId="3" fillId="37" borderId="15" xfId="0" applyNumberFormat="1" applyFont="1" applyFill="1" applyBorder="1" applyAlignment="1">
      <alignment/>
    </xf>
    <xf numFmtId="173" fontId="3" fillId="37" borderId="14" xfId="0" applyNumberFormat="1" applyFont="1" applyFill="1" applyBorder="1" applyAlignment="1">
      <alignment/>
    </xf>
    <xf numFmtId="0" fontId="2" fillId="0" borderId="65" xfId="0" applyFont="1" applyBorder="1" applyAlignment="1">
      <alignment horizontal="left" vertical="center"/>
    </xf>
    <xf numFmtId="3" fontId="2" fillId="4" borderId="64" xfId="0" applyNumberFormat="1" applyFont="1" applyFill="1" applyBorder="1" applyAlignment="1">
      <alignment vertical="center"/>
    </xf>
    <xf numFmtId="187" fontId="6" fillId="0" borderId="0" xfId="0" applyNumberFormat="1" applyFont="1" applyAlignment="1">
      <alignment horizontal="left"/>
    </xf>
    <xf numFmtId="187" fontId="6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 vertical="center"/>
    </xf>
    <xf numFmtId="3" fontId="1" fillId="0" borderId="16" xfId="0" applyNumberFormat="1" applyFont="1" applyFill="1" applyBorder="1" applyAlignment="1">
      <alignment vertical="center"/>
    </xf>
    <xf numFmtId="3" fontId="1" fillId="24" borderId="16" xfId="0" applyNumberFormat="1" applyFont="1" applyFill="1" applyBorder="1" applyAlignment="1">
      <alignment vertical="center"/>
    </xf>
    <xf numFmtId="3" fontId="1" fillId="4" borderId="16" xfId="0" applyNumberFormat="1" applyFont="1" applyFill="1" applyBorder="1" applyAlignment="1">
      <alignment vertical="center"/>
    </xf>
    <xf numFmtId="0" fontId="6" fillId="23" borderId="56" xfId="0" applyFont="1" applyFill="1" applyBorder="1" applyAlignment="1">
      <alignment horizontal="center"/>
    </xf>
    <xf numFmtId="0" fontId="6" fillId="23" borderId="41" xfId="0" applyFont="1" applyFill="1" applyBorder="1" applyAlignment="1">
      <alignment horizontal="center"/>
    </xf>
    <xf numFmtId="4" fontId="0" fillId="0" borderId="0" xfId="0" applyNumberFormat="1" applyAlignment="1">
      <alignment/>
    </xf>
    <xf numFmtId="173" fontId="2" fillId="31" borderId="48" xfId="0" applyNumberFormat="1" applyFont="1" applyFill="1" applyBorder="1" applyAlignment="1">
      <alignment/>
    </xf>
    <xf numFmtId="173" fontId="2" fillId="31" borderId="49" xfId="0" applyNumberFormat="1" applyFont="1" applyFill="1" applyBorder="1" applyAlignment="1">
      <alignment/>
    </xf>
    <xf numFmtId="0" fontId="1" fillId="0" borderId="21" xfId="0" applyFont="1" applyFill="1" applyBorder="1" applyAlignment="1" applyProtection="1">
      <alignment horizontal="left"/>
      <protection/>
    </xf>
    <xf numFmtId="173" fontId="1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4" borderId="31" xfId="0" applyFont="1" applyFill="1" applyBorder="1" applyAlignment="1">
      <alignment horizontal="left" vertical="center"/>
    </xf>
    <xf numFmtId="173" fontId="1" fillId="24" borderId="13" xfId="0" applyNumberFormat="1" applyFont="1" applyFill="1" applyBorder="1" applyAlignment="1">
      <alignment/>
    </xf>
    <xf numFmtId="173" fontId="1" fillId="24" borderId="12" xfId="0" applyNumberFormat="1" applyFont="1" applyFill="1" applyBorder="1" applyAlignment="1">
      <alignment/>
    </xf>
    <xf numFmtId="173" fontId="2" fillId="31" borderId="18" xfId="0" applyNumberFormat="1" applyFont="1" applyFill="1" applyBorder="1" applyAlignment="1">
      <alignment/>
    </xf>
    <xf numFmtId="173" fontId="2" fillId="31" borderId="17" xfId="0" applyNumberFormat="1" applyFont="1" applyFill="1" applyBorder="1" applyAlignment="1">
      <alignment/>
    </xf>
    <xf numFmtId="173" fontId="2" fillId="32" borderId="18" xfId="0" applyNumberFormat="1" applyFont="1" applyFill="1" applyBorder="1" applyAlignment="1">
      <alignment/>
    </xf>
    <xf numFmtId="173" fontId="2" fillId="32" borderId="17" xfId="0" applyNumberFormat="1" applyFont="1" applyFill="1" applyBorder="1" applyAlignment="1">
      <alignment/>
    </xf>
    <xf numFmtId="173" fontId="1" fillId="23" borderId="18" xfId="0" applyNumberFormat="1" applyFont="1" applyFill="1" applyBorder="1" applyAlignment="1">
      <alignment/>
    </xf>
    <xf numFmtId="173" fontId="1" fillId="23" borderId="17" xfId="0" applyNumberFormat="1" applyFont="1" applyFill="1" applyBorder="1" applyAlignment="1">
      <alignment/>
    </xf>
    <xf numFmtId="0" fontId="1" fillId="0" borderId="50" xfId="0" applyFont="1" applyBorder="1" applyAlignment="1">
      <alignment horizontal="center" vertical="center"/>
    </xf>
    <xf numFmtId="10" fontId="0" fillId="24" borderId="19" xfId="0" applyNumberFormat="1" applyFill="1" applyBorder="1" applyAlignment="1">
      <alignment horizontal="right"/>
    </xf>
    <xf numFmtId="10" fontId="0" fillId="24" borderId="16" xfId="0" applyNumberFormat="1" applyFill="1" applyBorder="1" applyAlignment="1">
      <alignment horizontal="right"/>
    </xf>
    <xf numFmtId="10" fontId="0" fillId="24" borderId="50" xfId="0" applyNumberFormat="1" applyFill="1" applyBorder="1" applyAlignment="1">
      <alignment horizontal="right"/>
    </xf>
    <xf numFmtId="10" fontId="6" fillId="24" borderId="41" xfId="0" applyNumberFormat="1" applyFont="1" applyFill="1" applyBorder="1" applyAlignment="1">
      <alignment horizontal="right"/>
    </xf>
    <xf numFmtId="173" fontId="3" fillId="23" borderId="15" xfId="0" applyNumberFormat="1" applyFont="1" applyFill="1" applyBorder="1" applyAlignment="1">
      <alignment/>
    </xf>
    <xf numFmtId="173" fontId="3" fillId="23" borderId="14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24" borderId="58" xfId="0" applyNumberFormat="1" applyFont="1" applyFill="1" applyBorder="1" applyAlignment="1">
      <alignment vertical="center"/>
    </xf>
    <xf numFmtId="3" fontId="2" fillId="24" borderId="16" xfId="0" applyNumberFormat="1" applyFont="1" applyFill="1" applyBorder="1" applyAlignment="1">
      <alignment vertical="center"/>
    </xf>
    <xf numFmtId="3" fontId="2" fillId="24" borderId="60" xfId="0" applyNumberFormat="1" applyFont="1" applyFill="1" applyBorder="1" applyAlignment="1">
      <alignment vertical="center"/>
    </xf>
    <xf numFmtId="3" fontId="2" fillId="24" borderId="40" xfId="0" applyNumberFormat="1" applyFont="1" applyFill="1" applyBorder="1" applyAlignment="1">
      <alignment vertical="center"/>
    </xf>
    <xf numFmtId="3" fontId="2" fillId="4" borderId="58" xfId="0" applyNumberFormat="1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vertical="center"/>
    </xf>
    <xf numFmtId="3" fontId="2" fillId="4" borderId="60" xfId="0" applyNumberFormat="1" applyFont="1" applyFill="1" applyBorder="1" applyAlignment="1">
      <alignment vertical="center"/>
    </xf>
    <xf numFmtId="3" fontId="2" fillId="4" borderId="40" xfId="0" applyNumberFormat="1" applyFont="1" applyFill="1" applyBorder="1" applyAlignment="1">
      <alignment vertical="center"/>
    </xf>
    <xf numFmtId="173" fontId="3" fillId="31" borderId="66" xfId="0" applyNumberFormat="1" applyFont="1" applyFill="1" applyBorder="1" applyAlignment="1">
      <alignment vertical="center"/>
    </xf>
    <xf numFmtId="173" fontId="3" fillId="0" borderId="67" xfId="0" applyNumberFormat="1" applyFont="1" applyBorder="1" applyAlignment="1">
      <alignment vertical="center" wrapText="1"/>
    </xf>
    <xf numFmtId="173" fontId="3" fillId="31" borderId="67" xfId="0" applyNumberFormat="1" applyFont="1" applyFill="1" applyBorder="1" applyAlignment="1">
      <alignment vertical="center"/>
    </xf>
    <xf numFmtId="173" fontId="3" fillId="23" borderId="66" xfId="0" applyNumberFormat="1" applyFont="1" applyFill="1" applyBorder="1" applyAlignment="1">
      <alignment vertical="center"/>
    </xf>
    <xf numFmtId="173" fontId="3" fillId="23" borderId="67" xfId="0" applyNumberFormat="1" applyFont="1" applyFill="1" applyBorder="1" applyAlignment="1">
      <alignment vertical="center"/>
    </xf>
    <xf numFmtId="173" fontId="3" fillId="32" borderId="15" xfId="0" applyNumberFormat="1" applyFont="1" applyFill="1" applyBorder="1" applyAlignment="1">
      <alignment vertical="center"/>
    </xf>
    <xf numFmtId="173" fontId="3" fillId="32" borderId="14" xfId="0" applyNumberFormat="1" applyFont="1" applyFill="1" applyBorder="1" applyAlignment="1">
      <alignment vertical="center"/>
    </xf>
    <xf numFmtId="173" fontId="3" fillId="31" borderId="15" xfId="0" applyNumberFormat="1" applyFont="1" applyFill="1" applyBorder="1" applyAlignment="1">
      <alignment vertical="center"/>
    </xf>
    <xf numFmtId="173" fontId="3" fillId="31" borderId="14" xfId="0" applyNumberFormat="1" applyFont="1" applyFill="1" applyBorder="1" applyAlignment="1">
      <alignment vertical="center"/>
    </xf>
    <xf numFmtId="173" fontId="3" fillId="23" borderId="15" xfId="0" applyNumberFormat="1" applyFont="1" applyFill="1" applyBorder="1" applyAlignment="1">
      <alignment vertical="center"/>
    </xf>
    <xf numFmtId="173" fontId="3" fillId="23" borderId="14" xfId="0" applyNumberFormat="1" applyFont="1" applyFill="1" applyBorder="1" applyAlignment="1">
      <alignment vertical="center"/>
    </xf>
    <xf numFmtId="173" fontId="3" fillId="0" borderId="14" xfId="0" applyNumberFormat="1" applyFont="1" applyBorder="1" applyAlignment="1">
      <alignment vertical="center" wrapText="1"/>
    </xf>
    <xf numFmtId="173" fontId="3" fillId="32" borderId="68" xfId="0" applyNumberFormat="1" applyFont="1" applyFill="1" applyBorder="1" applyAlignment="1">
      <alignment vertical="center"/>
    </xf>
    <xf numFmtId="173" fontId="3" fillId="32" borderId="69" xfId="0" applyNumberFormat="1" applyFont="1" applyFill="1" applyBorder="1" applyAlignment="1">
      <alignment vertical="center"/>
    </xf>
    <xf numFmtId="173" fontId="3" fillId="31" borderId="68" xfId="0" applyNumberFormat="1" applyFont="1" applyFill="1" applyBorder="1" applyAlignment="1">
      <alignment vertical="center"/>
    </xf>
    <xf numFmtId="173" fontId="3" fillId="31" borderId="69" xfId="0" applyNumberFormat="1" applyFont="1" applyFill="1" applyBorder="1" applyAlignment="1">
      <alignment vertical="center"/>
    </xf>
    <xf numFmtId="173" fontId="3" fillId="23" borderId="68" xfId="0" applyNumberFormat="1" applyFont="1" applyFill="1" applyBorder="1" applyAlignment="1">
      <alignment vertical="center"/>
    </xf>
    <xf numFmtId="173" fontId="3" fillId="23" borderId="69" xfId="0" applyNumberFormat="1" applyFont="1" applyFill="1" applyBorder="1" applyAlignment="1">
      <alignment vertical="center"/>
    </xf>
    <xf numFmtId="173" fontId="9" fillId="4" borderId="54" xfId="0" applyNumberFormat="1" applyFont="1" applyFill="1" applyBorder="1" applyAlignment="1">
      <alignment vertical="center"/>
    </xf>
    <xf numFmtId="173" fontId="9" fillId="4" borderId="55" xfId="0" applyNumberFormat="1" applyFont="1" applyFill="1" applyBorder="1" applyAlignment="1">
      <alignment vertical="center"/>
    </xf>
    <xf numFmtId="173" fontId="3" fillId="32" borderId="66" xfId="0" applyNumberFormat="1" applyFont="1" applyFill="1" applyBorder="1" applyAlignment="1">
      <alignment vertical="center"/>
    </xf>
    <xf numFmtId="173" fontId="3" fillId="32" borderId="67" xfId="0" applyNumberFormat="1" applyFont="1" applyFill="1" applyBorder="1" applyAlignment="1">
      <alignment vertical="center"/>
    </xf>
    <xf numFmtId="173" fontId="3" fillId="37" borderId="66" xfId="0" applyNumberFormat="1" applyFont="1" applyFill="1" applyBorder="1" applyAlignment="1">
      <alignment vertical="center"/>
    </xf>
    <xf numFmtId="173" fontId="3" fillId="37" borderId="67" xfId="0" applyNumberFormat="1" applyFont="1" applyFill="1" applyBorder="1" applyAlignment="1">
      <alignment vertical="center"/>
    </xf>
    <xf numFmtId="173" fontId="3" fillId="37" borderId="15" xfId="0" applyNumberFormat="1" applyFont="1" applyFill="1" applyBorder="1" applyAlignment="1">
      <alignment vertical="center"/>
    </xf>
    <xf numFmtId="173" fontId="3" fillId="37" borderId="14" xfId="0" applyNumberFormat="1" applyFont="1" applyFill="1" applyBorder="1" applyAlignment="1">
      <alignment vertical="center"/>
    </xf>
    <xf numFmtId="173" fontId="3" fillId="0" borderId="24" xfId="0" applyNumberFormat="1" applyFont="1" applyBorder="1" applyAlignment="1">
      <alignment vertical="center" wrapText="1"/>
    </xf>
    <xf numFmtId="173" fontId="3" fillId="0" borderId="70" xfId="0" applyNumberFormat="1" applyFont="1" applyBorder="1" applyAlignment="1">
      <alignment vertical="center" wrapText="1"/>
    </xf>
    <xf numFmtId="173" fontId="3" fillId="0" borderId="71" xfId="0" applyNumberFormat="1" applyFont="1" applyBorder="1" applyAlignment="1">
      <alignment vertical="center" wrapText="1"/>
    </xf>
    <xf numFmtId="173" fontId="3" fillId="0" borderId="72" xfId="0" applyNumberFormat="1" applyFont="1" applyBorder="1" applyAlignment="1">
      <alignment vertical="center" wrapText="1"/>
    </xf>
    <xf numFmtId="173" fontId="3" fillId="40" borderId="18" xfId="0" applyNumberFormat="1" applyFont="1" applyFill="1" applyBorder="1" applyAlignment="1">
      <alignment vertical="center"/>
    </xf>
    <xf numFmtId="173" fontId="3" fillId="40" borderId="17" xfId="0" applyNumberFormat="1" applyFont="1" applyFill="1" applyBorder="1" applyAlignment="1">
      <alignment vertical="center"/>
    </xf>
    <xf numFmtId="173" fontId="3" fillId="23" borderId="48" xfId="0" applyNumberFormat="1" applyFont="1" applyFill="1" applyBorder="1" applyAlignment="1">
      <alignment vertical="center"/>
    </xf>
    <xf numFmtId="173" fontId="3" fillId="23" borderId="49" xfId="0" applyNumberFormat="1" applyFont="1" applyFill="1" applyBorder="1" applyAlignment="1">
      <alignment vertical="center"/>
    </xf>
    <xf numFmtId="173" fontId="9" fillId="4" borderId="13" xfId="0" applyNumberFormat="1" applyFont="1" applyFill="1" applyBorder="1" applyAlignment="1">
      <alignment vertical="center"/>
    </xf>
    <xf numFmtId="173" fontId="9" fillId="4" borderId="12" xfId="0" applyNumberFormat="1" applyFont="1" applyFill="1" applyBorder="1" applyAlignment="1">
      <alignment vertical="center"/>
    </xf>
    <xf numFmtId="173" fontId="9" fillId="24" borderId="73" xfId="0" applyNumberFormat="1" applyFont="1" applyFill="1" applyBorder="1" applyAlignment="1">
      <alignment vertical="center"/>
    </xf>
    <xf numFmtId="173" fontId="9" fillId="24" borderId="74" xfId="0" applyNumberFormat="1" applyFont="1" applyFill="1" applyBorder="1" applyAlignment="1">
      <alignment vertical="center"/>
    </xf>
    <xf numFmtId="173" fontId="3" fillId="0" borderId="75" xfId="0" applyNumberFormat="1" applyFont="1" applyBorder="1" applyAlignment="1">
      <alignment vertical="center" wrapText="1"/>
    </xf>
    <xf numFmtId="173" fontId="3" fillId="0" borderId="54" xfId="0" applyNumberFormat="1" applyFont="1" applyBorder="1" applyAlignment="1">
      <alignment vertical="center" wrapText="1"/>
    </xf>
    <xf numFmtId="173" fontId="3" fillId="40" borderId="48" xfId="0" applyNumberFormat="1" applyFont="1" applyFill="1" applyBorder="1" applyAlignment="1">
      <alignment vertical="center"/>
    </xf>
    <xf numFmtId="173" fontId="3" fillId="40" borderId="49" xfId="0" applyNumberFormat="1" applyFont="1" applyFill="1" applyBorder="1" applyAlignment="1">
      <alignment vertical="center"/>
    </xf>
    <xf numFmtId="173" fontId="9" fillId="40" borderId="48" xfId="0" applyNumberFormat="1" applyFont="1" applyFill="1" applyBorder="1" applyAlignment="1">
      <alignment vertical="center"/>
    </xf>
    <xf numFmtId="173" fontId="9" fillId="40" borderId="49" xfId="0" applyNumberFormat="1" applyFont="1" applyFill="1" applyBorder="1" applyAlignment="1">
      <alignment vertical="center"/>
    </xf>
    <xf numFmtId="173" fontId="9" fillId="24" borderId="54" xfId="0" applyNumberFormat="1" applyFont="1" applyFill="1" applyBorder="1" applyAlignment="1">
      <alignment vertical="center"/>
    </xf>
    <xf numFmtId="173" fontId="9" fillId="24" borderId="55" xfId="0" applyNumberFormat="1" applyFont="1" applyFill="1" applyBorder="1" applyAlignment="1">
      <alignment vertical="center"/>
    </xf>
    <xf numFmtId="173" fontId="9" fillId="40" borderId="18" xfId="0" applyNumberFormat="1" applyFont="1" applyFill="1" applyBorder="1" applyAlignment="1">
      <alignment vertical="center"/>
    </xf>
    <xf numFmtId="173" fontId="9" fillId="40" borderId="17" xfId="0" applyNumberFormat="1" applyFont="1" applyFill="1" applyBorder="1" applyAlignment="1">
      <alignment vertical="center"/>
    </xf>
    <xf numFmtId="173" fontId="3" fillId="40" borderId="15" xfId="0" applyNumberFormat="1" applyFont="1" applyFill="1" applyBorder="1" applyAlignment="1">
      <alignment vertical="center"/>
    </xf>
    <xf numFmtId="173" fontId="3" fillId="40" borderId="14" xfId="0" applyNumberFormat="1" applyFont="1" applyFill="1" applyBorder="1" applyAlignment="1">
      <alignment vertical="center"/>
    </xf>
    <xf numFmtId="173" fontId="9" fillId="40" borderId="15" xfId="0" applyNumberFormat="1" applyFont="1" applyFill="1" applyBorder="1" applyAlignment="1">
      <alignment vertical="center"/>
    </xf>
    <xf numFmtId="173" fontId="9" fillId="40" borderId="14" xfId="0" applyNumberFormat="1" applyFont="1" applyFill="1" applyBorder="1" applyAlignment="1">
      <alignment vertical="center"/>
    </xf>
    <xf numFmtId="173" fontId="9" fillId="24" borderId="13" xfId="0" applyNumberFormat="1" applyFont="1" applyFill="1" applyBorder="1" applyAlignment="1">
      <alignment vertical="center"/>
    </xf>
    <xf numFmtId="173" fontId="9" fillId="24" borderId="12" xfId="0" applyNumberFormat="1" applyFont="1" applyFill="1" applyBorder="1" applyAlignment="1">
      <alignment vertical="center"/>
    </xf>
    <xf numFmtId="173" fontId="3" fillId="0" borderId="0" xfId="0" applyNumberFormat="1" applyFont="1" applyAlignment="1">
      <alignment vertical="center"/>
    </xf>
    <xf numFmtId="173" fontId="9" fillId="4" borderId="73" xfId="0" applyNumberFormat="1" applyFont="1" applyFill="1" applyBorder="1" applyAlignment="1">
      <alignment vertical="center"/>
    </xf>
    <xf numFmtId="173" fontId="9" fillId="4" borderId="74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173" fontId="9" fillId="37" borderId="15" xfId="0" applyNumberFormat="1" applyFont="1" applyFill="1" applyBorder="1" applyAlignment="1">
      <alignment/>
    </xf>
    <xf numFmtId="173" fontId="9" fillId="37" borderId="14" xfId="0" applyNumberFormat="1" applyFont="1" applyFill="1" applyBorder="1" applyAlignment="1">
      <alignment/>
    </xf>
    <xf numFmtId="173" fontId="2" fillId="37" borderId="15" xfId="0" applyNumberFormat="1" applyFont="1" applyFill="1" applyBorder="1" applyAlignment="1">
      <alignment/>
    </xf>
    <xf numFmtId="173" fontId="2" fillId="37" borderId="14" xfId="0" applyNumberFormat="1" applyFont="1" applyFill="1" applyBorder="1" applyAlignment="1">
      <alignment/>
    </xf>
    <xf numFmtId="173" fontId="2" fillId="41" borderId="15" xfId="0" applyNumberFormat="1" applyFont="1" applyFill="1" applyBorder="1" applyAlignment="1">
      <alignment/>
    </xf>
    <xf numFmtId="173" fontId="2" fillId="41" borderId="14" xfId="0" applyNumberFormat="1" applyFont="1" applyFill="1" applyBorder="1" applyAlignment="1">
      <alignment/>
    </xf>
    <xf numFmtId="173" fontId="3" fillId="31" borderId="76" xfId="0" applyNumberFormat="1" applyFont="1" applyFill="1" applyBorder="1" applyAlignment="1">
      <alignment vertical="center"/>
    </xf>
    <xf numFmtId="173" fontId="3" fillId="31" borderId="7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173" fontId="9" fillId="0" borderId="15" xfId="0" applyNumberFormat="1" applyFont="1" applyFill="1" applyBorder="1" applyAlignment="1">
      <alignment vertical="center"/>
    </xf>
    <xf numFmtId="173" fontId="9" fillId="0" borderId="14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3" fontId="1" fillId="4" borderId="57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3" fontId="2" fillId="0" borderId="41" xfId="0" applyNumberFormat="1" applyFont="1" applyFill="1" applyBorder="1" applyAlignment="1">
      <alignment vertical="center"/>
    </xf>
    <xf numFmtId="3" fontId="2" fillId="4" borderId="41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2" fillId="0" borderId="7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73" fontId="2" fillId="0" borderId="15" xfId="0" applyNumberFormat="1" applyFont="1" applyFill="1" applyBorder="1" applyAlignment="1">
      <alignment/>
    </xf>
    <xf numFmtId="3" fontId="2" fillId="4" borderId="50" xfId="0" applyNumberFormat="1" applyFont="1" applyFill="1" applyBorder="1" applyAlignment="1">
      <alignment vertical="center"/>
    </xf>
    <xf numFmtId="3" fontId="2" fillId="24" borderId="50" xfId="0" applyNumberFormat="1" applyFont="1" applyFill="1" applyBorder="1" applyAlignment="1">
      <alignment vertical="center"/>
    </xf>
    <xf numFmtId="173" fontId="3" fillId="31" borderId="79" xfId="0" applyNumberFormat="1" applyFont="1" applyFill="1" applyBorder="1" applyAlignment="1">
      <alignment vertical="center"/>
    </xf>
    <xf numFmtId="173" fontId="3" fillId="31" borderId="80" xfId="0" applyNumberFormat="1" applyFont="1" applyFill="1" applyBorder="1" applyAlignment="1">
      <alignment vertical="center"/>
    </xf>
    <xf numFmtId="173" fontId="3" fillId="23" borderId="79" xfId="0" applyNumberFormat="1" applyFont="1" applyFill="1" applyBorder="1" applyAlignment="1">
      <alignment vertical="center"/>
    </xf>
    <xf numFmtId="173" fontId="3" fillId="23" borderId="80" xfId="0" applyNumberFormat="1" applyFont="1" applyFill="1" applyBorder="1" applyAlignment="1">
      <alignment vertical="center"/>
    </xf>
    <xf numFmtId="173" fontId="3" fillId="32" borderId="79" xfId="0" applyNumberFormat="1" applyFont="1" applyFill="1" applyBorder="1" applyAlignment="1">
      <alignment vertical="center"/>
    </xf>
    <xf numFmtId="173" fontId="3" fillId="32" borderId="80" xfId="0" applyNumberFormat="1" applyFont="1" applyFill="1" applyBorder="1" applyAlignment="1">
      <alignment vertical="center"/>
    </xf>
    <xf numFmtId="173" fontId="3" fillId="37" borderId="79" xfId="0" applyNumberFormat="1" applyFont="1" applyFill="1" applyBorder="1" applyAlignment="1">
      <alignment vertical="center"/>
    </xf>
    <xf numFmtId="173" fontId="3" fillId="37" borderId="80" xfId="0" applyNumberFormat="1" applyFont="1" applyFill="1" applyBorder="1" applyAlignment="1">
      <alignment vertical="center"/>
    </xf>
    <xf numFmtId="173" fontId="3" fillId="40" borderId="66" xfId="0" applyNumberFormat="1" applyFont="1" applyFill="1" applyBorder="1" applyAlignment="1">
      <alignment vertical="center"/>
    </xf>
    <xf numFmtId="173" fontId="3" fillId="40" borderId="67" xfId="0" applyNumberFormat="1" applyFont="1" applyFill="1" applyBorder="1" applyAlignment="1">
      <alignment vertical="center"/>
    </xf>
    <xf numFmtId="173" fontId="9" fillId="40" borderId="66" xfId="0" applyNumberFormat="1" applyFont="1" applyFill="1" applyBorder="1" applyAlignment="1">
      <alignment vertical="center"/>
    </xf>
    <xf numFmtId="173" fontId="9" fillId="40" borderId="67" xfId="0" applyNumberFormat="1" applyFont="1" applyFill="1" applyBorder="1" applyAlignment="1">
      <alignment vertical="center"/>
    </xf>
    <xf numFmtId="173" fontId="3" fillId="40" borderId="79" xfId="0" applyNumberFormat="1" applyFont="1" applyFill="1" applyBorder="1" applyAlignment="1">
      <alignment vertical="center"/>
    </xf>
    <xf numFmtId="173" fontId="3" fillId="40" borderId="80" xfId="0" applyNumberFormat="1" applyFont="1" applyFill="1" applyBorder="1" applyAlignment="1">
      <alignment vertical="center"/>
    </xf>
    <xf numFmtId="173" fontId="9" fillId="40" borderId="79" xfId="0" applyNumberFormat="1" applyFont="1" applyFill="1" applyBorder="1" applyAlignment="1">
      <alignment vertical="center"/>
    </xf>
    <xf numFmtId="173" fontId="9" fillId="40" borderId="80" xfId="0" applyNumberFormat="1" applyFont="1" applyFill="1" applyBorder="1" applyAlignment="1">
      <alignment vertical="center"/>
    </xf>
    <xf numFmtId="173" fontId="3" fillId="32" borderId="81" xfId="0" applyNumberFormat="1" applyFont="1" applyFill="1" applyBorder="1" applyAlignment="1">
      <alignment vertical="center"/>
    </xf>
    <xf numFmtId="173" fontId="3" fillId="32" borderId="78" xfId="0" applyNumberFormat="1" applyFont="1" applyFill="1" applyBorder="1" applyAlignment="1">
      <alignment vertical="center"/>
    </xf>
    <xf numFmtId="173" fontId="3" fillId="40" borderId="81" xfId="0" applyNumberFormat="1" applyFont="1" applyFill="1" applyBorder="1" applyAlignment="1">
      <alignment vertical="center"/>
    </xf>
    <xf numFmtId="173" fontId="3" fillId="40" borderId="78" xfId="0" applyNumberFormat="1" applyFont="1" applyFill="1" applyBorder="1" applyAlignment="1">
      <alignment vertical="center"/>
    </xf>
    <xf numFmtId="173" fontId="3" fillId="31" borderId="81" xfId="0" applyNumberFormat="1" applyFont="1" applyFill="1" applyBorder="1" applyAlignment="1">
      <alignment vertical="center"/>
    </xf>
    <xf numFmtId="173" fontId="3" fillId="31" borderId="78" xfId="0" applyNumberFormat="1" applyFont="1" applyFill="1" applyBorder="1" applyAlignment="1">
      <alignment vertical="center"/>
    </xf>
    <xf numFmtId="173" fontId="9" fillId="40" borderId="81" xfId="0" applyNumberFormat="1" applyFont="1" applyFill="1" applyBorder="1" applyAlignment="1">
      <alignment vertical="center"/>
    </xf>
    <xf numFmtId="173" fontId="9" fillId="40" borderId="78" xfId="0" applyNumberFormat="1" applyFont="1" applyFill="1" applyBorder="1" applyAlignment="1">
      <alignment vertical="center"/>
    </xf>
    <xf numFmtId="173" fontId="3" fillId="23" borderId="81" xfId="0" applyNumberFormat="1" applyFont="1" applyFill="1" applyBorder="1" applyAlignment="1">
      <alignment vertical="center"/>
    </xf>
    <xf numFmtId="173" fontId="3" fillId="23" borderId="78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65" xfId="0" applyFont="1" applyFill="1" applyBorder="1" applyAlignment="1">
      <alignment horizontal="left" vertical="center"/>
    </xf>
    <xf numFmtId="173" fontId="3" fillId="32" borderId="18" xfId="0" applyNumberFormat="1" applyFont="1" applyFill="1" applyBorder="1" applyAlignment="1">
      <alignment vertical="center"/>
    </xf>
    <xf numFmtId="173" fontId="3" fillId="32" borderId="17" xfId="0" applyNumberFormat="1" applyFont="1" applyFill="1" applyBorder="1" applyAlignment="1">
      <alignment vertical="center"/>
    </xf>
    <xf numFmtId="173" fontId="3" fillId="40" borderId="68" xfId="0" applyNumberFormat="1" applyFont="1" applyFill="1" applyBorder="1" applyAlignment="1">
      <alignment vertical="center"/>
    </xf>
    <xf numFmtId="173" fontId="3" fillId="40" borderId="69" xfId="0" applyNumberFormat="1" applyFont="1" applyFill="1" applyBorder="1" applyAlignment="1">
      <alignment vertical="center"/>
    </xf>
    <xf numFmtId="173" fontId="3" fillId="37" borderId="68" xfId="0" applyNumberFormat="1" applyFont="1" applyFill="1" applyBorder="1" applyAlignment="1">
      <alignment vertical="center"/>
    </xf>
    <xf numFmtId="173" fontId="3" fillId="37" borderId="69" xfId="0" applyNumberFormat="1" applyFont="1" applyFill="1" applyBorder="1" applyAlignment="1">
      <alignment vertical="center"/>
    </xf>
    <xf numFmtId="10" fontId="1" fillId="24" borderId="82" xfId="0" applyNumberFormat="1" applyFont="1" applyFill="1" applyBorder="1" applyAlignment="1">
      <alignment/>
    </xf>
    <xf numFmtId="3" fontId="1" fillId="24" borderId="82" xfId="0" applyNumberFormat="1" applyFont="1" applyFill="1" applyBorder="1" applyAlignment="1">
      <alignment vertical="center"/>
    </xf>
    <xf numFmtId="10" fontId="1" fillId="24" borderId="43" xfId="0" applyNumberFormat="1" applyFont="1" applyFill="1" applyBorder="1" applyAlignment="1">
      <alignment vertical="center"/>
    </xf>
    <xf numFmtId="10" fontId="2" fillId="0" borderId="60" xfId="0" applyNumberFormat="1" applyFont="1" applyBorder="1" applyAlignment="1">
      <alignment/>
    </xf>
    <xf numFmtId="3" fontId="2" fillId="0" borderId="83" xfId="0" applyNumberFormat="1" applyFont="1" applyFill="1" applyBorder="1" applyAlignment="1">
      <alignment vertical="center"/>
    </xf>
    <xf numFmtId="0" fontId="6" fillId="24" borderId="56" xfId="0" applyFont="1" applyFill="1" applyBorder="1" applyAlignment="1">
      <alignment horizontal="center"/>
    </xf>
    <xf numFmtId="0" fontId="6" fillId="24" borderId="41" xfId="0" applyFont="1" applyFill="1" applyBorder="1" applyAlignment="1">
      <alignment horizontal="center"/>
    </xf>
    <xf numFmtId="10" fontId="0" fillId="24" borderId="19" xfId="0" applyNumberFormat="1" applyFill="1" applyBorder="1" applyAlignment="1">
      <alignment horizontal="center"/>
    </xf>
    <xf numFmtId="10" fontId="0" fillId="24" borderId="16" xfId="0" applyNumberFormat="1" applyFill="1" applyBorder="1" applyAlignment="1">
      <alignment horizontal="center"/>
    </xf>
    <xf numFmtId="10" fontId="0" fillId="24" borderId="50" xfId="0" applyNumberFormat="1" applyFill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1" fillId="0" borderId="84" xfId="0" applyFont="1" applyBorder="1" applyAlignment="1">
      <alignment horizontal="left" vertical="center"/>
    </xf>
    <xf numFmtId="10" fontId="6" fillId="24" borderId="41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vertical="center"/>
    </xf>
    <xf numFmtId="0" fontId="1" fillId="24" borderId="56" xfId="0" applyFont="1" applyFill="1" applyBorder="1" applyAlignment="1">
      <alignment horizontal="center" vertical="center" wrapText="1"/>
    </xf>
    <xf numFmtId="3" fontId="1" fillId="37" borderId="16" xfId="0" applyNumberFormat="1" applyFont="1" applyFill="1" applyBorder="1" applyAlignment="1">
      <alignment vertical="center"/>
    </xf>
    <xf numFmtId="14" fontId="1" fillId="24" borderId="41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4" fontId="1" fillId="0" borderId="57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Fill="1" applyBorder="1" applyAlignment="1">
      <alignment vertical="center"/>
    </xf>
    <xf numFmtId="173" fontId="6" fillId="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0" fontId="1" fillId="24" borderId="31" xfId="0" applyNumberFormat="1" applyFont="1" applyFill="1" applyBorder="1" applyAlignment="1">
      <alignment/>
    </xf>
    <xf numFmtId="0" fontId="1" fillId="0" borderId="56" xfId="0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/>
    </xf>
    <xf numFmtId="0" fontId="2" fillId="0" borderId="85" xfId="0" applyFont="1" applyBorder="1" applyAlignment="1">
      <alignment horizontal="center" vertical="center" wrapText="1"/>
    </xf>
    <xf numFmtId="4" fontId="2" fillId="4" borderId="85" xfId="0" applyNumberFormat="1" applyFont="1" applyFill="1" applyBorder="1" applyAlignment="1">
      <alignment vertical="center"/>
    </xf>
    <xf numFmtId="172" fontId="2" fillId="24" borderId="85" xfId="0" applyNumberFormat="1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0" fontId="2" fillId="0" borderId="86" xfId="0" applyFont="1" applyBorder="1" applyAlignment="1">
      <alignment horizontal="center" vertical="center" wrapText="1"/>
    </xf>
    <xf numFmtId="172" fontId="2" fillId="0" borderId="86" xfId="0" applyNumberFormat="1" applyFont="1" applyFill="1" applyBorder="1" applyAlignment="1">
      <alignment horizontal="right" vertical="center"/>
    </xf>
    <xf numFmtId="4" fontId="2" fillId="4" borderId="86" xfId="0" applyNumberFormat="1" applyFont="1" applyFill="1" applyBorder="1" applyAlignment="1">
      <alignment vertical="center"/>
    </xf>
    <xf numFmtId="172" fontId="2" fillId="24" borderId="86" xfId="0" applyNumberFormat="1" applyFont="1" applyFill="1" applyBorder="1" applyAlignment="1">
      <alignment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4" fontId="1" fillId="24" borderId="10" xfId="0" applyNumberFormat="1" applyFont="1" applyFill="1" applyBorder="1" applyAlignment="1">
      <alignment vertical="center"/>
    </xf>
    <xf numFmtId="172" fontId="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72" fontId="2" fillId="0" borderId="86" xfId="0" applyNumberFormat="1" applyFont="1" applyFill="1" applyBorder="1" applyAlignment="1">
      <alignment horizontal="center" vertical="center"/>
    </xf>
    <xf numFmtId="172" fontId="1" fillId="0" borderId="86" xfId="0" applyNumberFormat="1" applyFont="1" applyFill="1" applyBorder="1" applyAlignment="1">
      <alignment horizontal="right" vertical="center"/>
    </xf>
    <xf numFmtId="172" fontId="2" fillId="0" borderId="86" xfId="0" applyNumberFormat="1" applyFont="1" applyBorder="1" applyAlignment="1">
      <alignment/>
    </xf>
    <xf numFmtId="0" fontId="2" fillId="0" borderId="86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172" fontId="1" fillId="0" borderId="87" xfId="0" applyNumberFormat="1" applyFont="1" applyFill="1" applyBorder="1" applyAlignment="1">
      <alignment horizontal="right" vertical="center"/>
    </xf>
    <xf numFmtId="172" fontId="2" fillId="0" borderId="87" xfId="0" applyNumberFormat="1" applyFont="1" applyBorder="1" applyAlignment="1">
      <alignment/>
    </xf>
    <xf numFmtId="192" fontId="2" fillId="0" borderId="0" xfId="0" applyNumberFormat="1" applyFont="1" applyAlignment="1">
      <alignment/>
    </xf>
    <xf numFmtId="3" fontId="2" fillId="24" borderId="16" xfId="0" applyNumberFormat="1" applyFont="1" applyFill="1" applyBorder="1" applyAlignment="1">
      <alignment vertical="center"/>
    </xf>
    <xf numFmtId="3" fontId="2" fillId="24" borderId="50" xfId="0" applyNumberFormat="1" applyFont="1" applyFill="1" applyBorder="1" applyAlignment="1">
      <alignment vertical="center"/>
    </xf>
    <xf numFmtId="3" fontId="2" fillId="24" borderId="41" xfId="0" applyNumberFormat="1" applyFont="1" applyFill="1" applyBorder="1" applyAlignment="1">
      <alignment vertical="center"/>
    </xf>
    <xf numFmtId="3" fontId="1" fillId="24" borderId="57" xfId="0" applyNumberFormat="1" applyFont="1" applyFill="1" applyBorder="1" applyAlignment="1">
      <alignment vertical="center"/>
    </xf>
    <xf numFmtId="3" fontId="2" fillId="24" borderId="64" xfId="0" applyNumberFormat="1" applyFont="1" applyFill="1" applyBorder="1" applyAlignment="1">
      <alignment vertical="center"/>
    </xf>
    <xf numFmtId="10" fontId="6" fillId="0" borderId="31" xfId="0" applyNumberFormat="1" applyFont="1" applyBorder="1" applyAlignment="1">
      <alignment/>
    </xf>
    <xf numFmtId="0" fontId="1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/>
    </xf>
    <xf numFmtId="194" fontId="1" fillId="23" borderId="1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172" fontId="2" fillId="0" borderId="85" xfId="0" applyNumberFormat="1" applyFont="1" applyFill="1" applyBorder="1" applyAlignment="1">
      <alignment vertical="center"/>
    </xf>
    <xf numFmtId="172" fontId="2" fillId="0" borderId="87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3" fontId="3" fillId="31" borderId="86" xfId="0" applyNumberFormat="1" applyFont="1" applyFill="1" applyBorder="1" applyAlignment="1">
      <alignment vertical="center"/>
    </xf>
    <xf numFmtId="173" fontId="9" fillId="31" borderId="14" xfId="0" applyNumberFormat="1" applyFont="1" applyFill="1" applyBorder="1" applyAlignment="1">
      <alignment vertical="center"/>
    </xf>
    <xf numFmtId="173" fontId="9" fillId="31" borderId="8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1" fillId="24" borderId="62" xfId="0" applyFont="1" applyFill="1" applyBorder="1" applyAlignment="1">
      <alignment horizontal="center"/>
    </xf>
    <xf numFmtId="173" fontId="9" fillId="24" borderId="88" xfId="0" applyNumberFormat="1" applyFont="1" applyFill="1" applyBorder="1" applyAlignment="1">
      <alignment vertical="center"/>
    </xf>
    <xf numFmtId="173" fontId="9" fillId="24" borderId="89" xfId="0" applyNumberFormat="1" applyFont="1" applyFill="1" applyBorder="1" applyAlignment="1">
      <alignment vertical="center"/>
    </xf>
    <xf numFmtId="173" fontId="3" fillId="31" borderId="90" xfId="0" applyNumberFormat="1" applyFont="1" applyFill="1" applyBorder="1" applyAlignment="1">
      <alignment vertical="center"/>
    </xf>
    <xf numFmtId="173" fontId="3" fillId="31" borderId="91" xfId="0" applyNumberFormat="1" applyFont="1" applyFill="1" applyBorder="1" applyAlignment="1">
      <alignment vertical="center"/>
    </xf>
    <xf numFmtId="173" fontId="9" fillId="31" borderId="92" xfId="0" applyNumberFormat="1" applyFont="1" applyFill="1" applyBorder="1" applyAlignment="1">
      <alignment vertical="center"/>
    </xf>
    <xf numFmtId="173" fontId="9" fillId="24" borderId="93" xfId="0" applyNumberFormat="1" applyFont="1" applyFill="1" applyBorder="1" applyAlignment="1">
      <alignment vertical="center"/>
    </xf>
    <xf numFmtId="173" fontId="1" fillId="3" borderId="10" xfId="0" applyNumberFormat="1" applyFont="1" applyFill="1" applyBorder="1" applyAlignment="1">
      <alignment horizontal="center" vertical="center"/>
    </xf>
    <xf numFmtId="0" fontId="7" fillId="24" borderId="62" xfId="0" applyFont="1" applyFill="1" applyBorder="1" applyAlignment="1">
      <alignment horizontal="center"/>
    </xf>
    <xf numFmtId="0" fontId="3" fillId="0" borderId="4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1" fillId="0" borderId="16" xfId="0" applyFont="1" applyBorder="1" applyAlignment="1" quotePrefix="1">
      <alignment horizontal="center" vertical="center"/>
    </xf>
    <xf numFmtId="0" fontId="2" fillId="0" borderId="3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2" fillId="0" borderId="95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5" fontId="1" fillId="24" borderId="10" xfId="0" applyNumberFormat="1" applyFont="1" applyFill="1" applyBorder="1" applyAlignment="1">
      <alignment horizontal="center" vertical="center" wrapText="1"/>
    </xf>
    <xf numFmtId="172" fontId="1" fillId="24" borderId="8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26" borderId="21" xfId="0" applyNumberFormat="1" applyFont="1" applyFill="1" applyBorder="1" applyAlignment="1">
      <alignment/>
    </xf>
    <xf numFmtId="3" fontId="1" fillId="24" borderId="19" xfId="0" applyNumberFormat="1" applyFont="1" applyFill="1" applyBorder="1" applyAlignment="1">
      <alignment vertical="center"/>
    </xf>
    <xf numFmtId="3" fontId="1" fillId="24" borderId="18" xfId="0" applyNumberFormat="1" applyFont="1" applyFill="1" applyBorder="1" applyAlignment="1">
      <alignment/>
    </xf>
    <xf numFmtId="3" fontId="1" fillId="24" borderId="17" xfId="0" applyNumberFormat="1" applyFont="1" applyFill="1" applyBorder="1" applyAlignment="1">
      <alignment/>
    </xf>
    <xf numFmtId="3" fontId="1" fillId="24" borderId="27" xfId="0" applyNumberFormat="1" applyFont="1" applyFill="1" applyBorder="1" applyAlignment="1">
      <alignment/>
    </xf>
    <xf numFmtId="3" fontId="1" fillId="24" borderId="26" xfId="0" applyNumberFormat="1" applyFont="1" applyFill="1" applyBorder="1" applyAlignment="1">
      <alignment/>
    </xf>
    <xf numFmtId="3" fontId="2" fillId="31" borderId="15" xfId="0" applyNumberFormat="1" applyFont="1" applyFill="1" applyBorder="1" applyAlignment="1">
      <alignment/>
    </xf>
    <xf numFmtId="3" fontId="2" fillId="31" borderId="14" xfId="0" applyNumberFormat="1" applyFont="1" applyFill="1" applyBorder="1" applyAlignment="1">
      <alignment/>
    </xf>
    <xf numFmtId="3" fontId="1" fillId="23" borderId="15" xfId="0" applyNumberFormat="1" applyFont="1" applyFill="1" applyBorder="1" applyAlignment="1">
      <alignment/>
    </xf>
    <xf numFmtId="3" fontId="1" fillId="24" borderId="15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7" borderId="15" xfId="0" applyNumberFormat="1" applyFont="1" applyFill="1" applyBorder="1" applyAlignment="1">
      <alignment/>
    </xf>
    <xf numFmtId="3" fontId="2" fillId="37" borderId="14" xfId="0" applyNumberFormat="1" applyFont="1" applyFill="1" applyBorder="1" applyAlignment="1">
      <alignment/>
    </xf>
    <xf numFmtId="3" fontId="2" fillId="31" borderId="81" xfId="0" applyNumberFormat="1" applyFont="1" applyFill="1" applyBorder="1" applyAlignment="1">
      <alignment/>
    </xf>
    <xf numFmtId="3" fontId="2" fillId="31" borderId="78" xfId="0" applyNumberFormat="1" applyFont="1" applyFill="1" applyBorder="1" applyAlignment="1">
      <alignment/>
    </xf>
    <xf numFmtId="3" fontId="1" fillId="23" borderId="81" xfId="0" applyNumberFormat="1" applyFont="1" applyFill="1" applyBorder="1" applyAlignment="1">
      <alignment/>
    </xf>
    <xf numFmtId="3" fontId="1" fillId="23" borderId="78" xfId="0" applyNumberFormat="1" applyFont="1" applyFill="1" applyBorder="1" applyAlignment="1">
      <alignment/>
    </xf>
    <xf numFmtId="3" fontId="1" fillId="26" borderId="13" xfId="0" applyNumberFormat="1" applyFont="1" applyFill="1" applyBorder="1" applyAlignment="1">
      <alignment/>
    </xf>
    <xf numFmtId="3" fontId="1" fillId="26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left" vertical="center"/>
    </xf>
    <xf numFmtId="173" fontId="3" fillId="0" borderId="9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98" xfId="0" applyFont="1" applyFill="1" applyBorder="1" applyAlignment="1">
      <alignment vertical="center"/>
    </xf>
    <xf numFmtId="0" fontId="2" fillId="0" borderId="98" xfId="0" applyFont="1" applyBorder="1" applyAlignment="1">
      <alignment horizontal="center" vertical="center" wrapText="1"/>
    </xf>
    <xf numFmtId="4" fontId="2" fillId="4" borderId="98" xfId="0" applyNumberFormat="1" applyFont="1" applyFill="1" applyBorder="1" applyAlignment="1">
      <alignment vertical="center"/>
    </xf>
    <xf numFmtId="172" fontId="2" fillId="24" borderId="98" xfId="0" applyNumberFormat="1" applyFont="1" applyFill="1" applyBorder="1" applyAlignment="1">
      <alignment vertical="center"/>
    </xf>
    <xf numFmtId="4" fontId="1" fillId="4" borderId="10" xfId="0" applyNumberFormat="1" applyFont="1" applyFill="1" applyBorder="1" applyAlignment="1">
      <alignment vertical="center"/>
    </xf>
    <xf numFmtId="173" fontId="3" fillId="31" borderId="18" xfId="0" applyNumberFormat="1" applyFont="1" applyFill="1" applyBorder="1" applyAlignment="1">
      <alignment vertical="center"/>
    </xf>
    <xf numFmtId="173" fontId="3" fillId="31" borderId="17" xfId="0" applyNumberFormat="1" applyFont="1" applyFill="1" applyBorder="1" applyAlignment="1">
      <alignment vertical="center"/>
    </xf>
    <xf numFmtId="172" fontId="2" fillId="0" borderId="85" xfId="0" applyNumberFormat="1" applyFont="1" applyFill="1" applyBorder="1" applyAlignment="1">
      <alignment horizontal="right" vertical="center"/>
    </xf>
    <xf numFmtId="172" fontId="2" fillId="0" borderId="87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/>
    </xf>
    <xf numFmtId="0" fontId="2" fillId="0" borderId="42" xfId="0" applyFont="1" applyBorder="1" applyAlignment="1">
      <alignment/>
    </xf>
    <xf numFmtId="173" fontId="3" fillId="37" borderId="18" xfId="0" applyNumberFormat="1" applyFont="1" applyFill="1" applyBorder="1" applyAlignment="1">
      <alignment vertical="center"/>
    </xf>
    <xf numFmtId="173" fontId="3" fillId="37" borderId="17" xfId="0" applyNumberFormat="1" applyFont="1" applyFill="1" applyBorder="1" applyAlignment="1">
      <alignment vertical="center"/>
    </xf>
    <xf numFmtId="173" fontId="9" fillId="37" borderId="66" xfId="0" applyNumberFormat="1" applyFont="1" applyFill="1" applyBorder="1" applyAlignment="1">
      <alignment vertical="center"/>
    </xf>
    <xf numFmtId="173" fontId="9" fillId="37" borderId="67" xfId="0" applyNumberFormat="1" applyFont="1" applyFill="1" applyBorder="1" applyAlignment="1">
      <alignment vertical="center"/>
    </xf>
    <xf numFmtId="173" fontId="9" fillId="37" borderId="15" xfId="0" applyNumberFormat="1" applyFont="1" applyFill="1" applyBorder="1" applyAlignment="1">
      <alignment vertical="center"/>
    </xf>
    <xf numFmtId="173" fontId="9" fillId="37" borderId="14" xfId="0" applyNumberFormat="1" applyFont="1" applyFill="1" applyBorder="1" applyAlignment="1">
      <alignment vertical="center"/>
    </xf>
    <xf numFmtId="173" fontId="9" fillId="37" borderId="79" xfId="0" applyNumberFormat="1" applyFont="1" applyFill="1" applyBorder="1" applyAlignment="1">
      <alignment vertical="center"/>
    </xf>
    <xf numFmtId="173" fontId="9" fillId="37" borderId="80" xfId="0" applyNumberFormat="1" applyFont="1" applyFill="1" applyBorder="1" applyAlignment="1">
      <alignment vertical="center"/>
    </xf>
    <xf numFmtId="173" fontId="9" fillId="37" borderId="48" xfId="0" applyNumberFormat="1" applyFont="1" applyFill="1" applyBorder="1" applyAlignment="1">
      <alignment vertical="center"/>
    </xf>
    <xf numFmtId="173" fontId="9" fillId="37" borderId="49" xfId="0" applyNumberFormat="1" applyFont="1" applyFill="1" applyBorder="1" applyAlignment="1">
      <alignment vertical="center"/>
    </xf>
    <xf numFmtId="173" fontId="9" fillId="37" borderId="18" xfId="0" applyNumberFormat="1" applyFont="1" applyFill="1" applyBorder="1" applyAlignment="1">
      <alignment vertical="center"/>
    </xf>
    <xf numFmtId="173" fontId="9" fillId="37" borderId="17" xfId="0" applyNumberFormat="1" applyFont="1" applyFill="1" applyBorder="1" applyAlignment="1">
      <alignment vertical="center"/>
    </xf>
    <xf numFmtId="173" fontId="9" fillId="37" borderId="81" xfId="0" applyNumberFormat="1" applyFont="1" applyFill="1" applyBorder="1" applyAlignment="1">
      <alignment vertical="center"/>
    </xf>
    <xf numFmtId="173" fontId="9" fillId="37" borderId="78" xfId="0" applyNumberFormat="1" applyFont="1" applyFill="1" applyBorder="1" applyAlignment="1">
      <alignment vertical="center"/>
    </xf>
    <xf numFmtId="173" fontId="3" fillId="0" borderId="76" xfId="0" applyNumberFormat="1" applyFont="1" applyBorder="1" applyAlignment="1">
      <alignment vertical="center" wrapText="1"/>
    </xf>
    <xf numFmtId="173" fontId="3" fillId="0" borderId="15" xfId="0" applyNumberFormat="1" applyFont="1" applyBorder="1" applyAlignment="1">
      <alignment vertical="center" wrapText="1"/>
    </xf>
    <xf numFmtId="173" fontId="3" fillId="0" borderId="80" xfId="0" applyNumberFormat="1" applyFont="1" applyBorder="1" applyAlignment="1">
      <alignment vertical="center" wrapText="1"/>
    </xf>
    <xf numFmtId="192" fontId="3" fillId="0" borderId="85" xfId="0" applyNumberFormat="1" applyFont="1" applyBorder="1" applyAlignment="1">
      <alignment/>
    </xf>
    <xf numFmtId="192" fontId="3" fillId="0" borderId="86" xfId="0" applyNumberFormat="1" applyFont="1" applyBorder="1" applyAlignment="1">
      <alignment/>
    </xf>
    <xf numFmtId="193" fontId="3" fillId="0" borderId="86" xfId="0" applyNumberFormat="1" applyFont="1" applyBorder="1" applyAlignment="1">
      <alignment/>
    </xf>
    <xf numFmtId="172" fontId="3" fillId="0" borderId="86" xfId="0" applyNumberFormat="1" applyFont="1" applyBorder="1" applyAlignment="1">
      <alignment/>
    </xf>
    <xf numFmtId="172" fontId="3" fillId="0" borderId="87" xfId="0" applyNumberFormat="1" applyFont="1" applyBorder="1" applyAlignment="1">
      <alignment/>
    </xf>
    <xf numFmtId="3" fontId="1" fillId="39" borderId="13" xfId="0" applyNumberFormat="1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3" fontId="1" fillId="4" borderId="14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2" fontId="1" fillId="24" borderId="0" xfId="0" applyNumberFormat="1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172" fontId="2" fillId="0" borderId="85" xfId="0" applyNumberFormat="1" applyFont="1" applyFill="1" applyBorder="1" applyAlignment="1">
      <alignment horizontal="center" vertical="center"/>
    </xf>
    <xf numFmtId="10" fontId="2" fillId="0" borderId="85" xfId="0" applyNumberFormat="1" applyFont="1" applyBorder="1" applyAlignment="1">
      <alignment horizontal="center" vertical="center" wrapText="1"/>
    </xf>
    <xf numFmtId="174" fontId="2" fillId="0" borderId="85" xfId="0" applyNumberFormat="1" applyFont="1" applyBorder="1" applyAlignment="1">
      <alignment horizontal="center" vertical="center" wrapText="1"/>
    </xf>
    <xf numFmtId="173" fontId="2" fillId="0" borderId="85" xfId="0" applyNumberFormat="1" applyFont="1" applyBorder="1" applyAlignment="1">
      <alignment horizontal="center" vertical="center" wrapText="1"/>
    </xf>
    <xf numFmtId="177" fontId="2" fillId="0" borderId="85" xfId="0" applyNumberFormat="1" applyFont="1" applyFill="1" applyBorder="1" applyAlignment="1">
      <alignment horizontal="center" vertical="center" wrapText="1"/>
    </xf>
    <xf numFmtId="173" fontId="2" fillId="0" borderId="8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2" fontId="2" fillId="0" borderId="86" xfId="0" applyNumberFormat="1" applyFont="1" applyFill="1" applyBorder="1" applyAlignment="1">
      <alignment vertical="center"/>
    </xf>
    <xf numFmtId="10" fontId="2" fillId="0" borderId="86" xfId="0" applyNumberFormat="1" applyFont="1" applyBorder="1" applyAlignment="1">
      <alignment horizontal="center" vertical="center" wrapText="1"/>
    </xf>
    <xf numFmtId="174" fontId="2" fillId="0" borderId="86" xfId="0" applyNumberFormat="1" applyFont="1" applyBorder="1" applyAlignment="1">
      <alignment horizontal="center" vertical="center" wrapText="1"/>
    </xf>
    <xf numFmtId="173" fontId="2" fillId="0" borderId="86" xfId="0" applyNumberFormat="1" applyFont="1" applyBorder="1" applyAlignment="1">
      <alignment horizontal="center" vertical="center" wrapText="1"/>
    </xf>
    <xf numFmtId="177" fontId="2" fillId="0" borderId="86" xfId="0" applyNumberFormat="1" applyFont="1" applyFill="1" applyBorder="1" applyAlignment="1">
      <alignment horizontal="center" vertical="center" wrapText="1"/>
    </xf>
    <xf numFmtId="173" fontId="2" fillId="0" borderId="86" xfId="0" applyNumberFormat="1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/>
    </xf>
    <xf numFmtId="172" fontId="2" fillId="0" borderId="87" xfId="0" applyNumberFormat="1" applyFont="1" applyFill="1" applyBorder="1" applyAlignment="1">
      <alignment horizontal="center" vertical="center"/>
    </xf>
    <xf numFmtId="10" fontId="2" fillId="0" borderId="87" xfId="0" applyNumberFormat="1" applyFont="1" applyBorder="1" applyAlignment="1">
      <alignment horizontal="center" vertical="center" wrapText="1"/>
    </xf>
    <xf numFmtId="174" fontId="2" fillId="0" borderId="87" xfId="0" applyNumberFormat="1" applyFont="1" applyBorder="1" applyAlignment="1">
      <alignment horizontal="center" vertical="center" wrapText="1"/>
    </xf>
    <xf numFmtId="173" fontId="2" fillId="0" borderId="87" xfId="0" applyNumberFormat="1" applyFont="1" applyBorder="1" applyAlignment="1">
      <alignment horizontal="center" vertical="center" wrapText="1"/>
    </xf>
    <xf numFmtId="177" fontId="2" fillId="0" borderId="87" xfId="0" applyNumberFormat="1" applyFont="1" applyFill="1" applyBorder="1" applyAlignment="1">
      <alignment horizontal="center" vertical="center" wrapText="1"/>
    </xf>
    <xf numFmtId="173" fontId="2" fillId="0" borderId="87" xfId="0" applyNumberFormat="1" applyFont="1" applyFill="1" applyBorder="1" applyAlignment="1">
      <alignment horizontal="center" vertical="center" wrapText="1"/>
    </xf>
    <xf numFmtId="179" fontId="2" fillId="0" borderId="80" xfId="0" applyNumberFormat="1" applyFont="1" applyFill="1" applyBorder="1" applyAlignment="1">
      <alignment horizontal="center" vertical="center" wrapText="1"/>
    </xf>
    <xf numFmtId="0" fontId="1" fillId="24" borderId="60" xfId="0" applyFont="1" applyFill="1" applyBorder="1" applyAlignment="1">
      <alignment horizontal="left" vertical="center"/>
    </xf>
    <xf numFmtId="173" fontId="9" fillId="24" borderId="79" xfId="0" applyNumberFormat="1" applyFont="1" applyFill="1" applyBorder="1" applyAlignment="1">
      <alignment vertical="center"/>
    </xf>
    <xf numFmtId="173" fontId="9" fillId="24" borderId="80" xfId="0" applyNumberFormat="1" applyFont="1" applyFill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49" fillId="0" borderId="0" xfId="0" applyFont="1" applyAlignment="1">
      <alignment/>
    </xf>
    <xf numFmtId="172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192" fontId="49" fillId="0" borderId="0" xfId="0" applyNumberFormat="1" applyFont="1" applyAlignment="1">
      <alignment/>
    </xf>
    <xf numFmtId="0" fontId="1" fillId="24" borderId="32" xfId="0" applyFont="1" applyFill="1" applyBorder="1" applyAlignment="1">
      <alignment horizontal="left" vertical="center"/>
    </xf>
    <xf numFmtId="1" fontId="3" fillId="33" borderId="99" xfId="0" applyNumberFormat="1" applyFont="1" applyFill="1" applyBorder="1" applyAlignment="1">
      <alignment/>
    </xf>
    <xf numFmtId="172" fontId="1" fillId="33" borderId="70" xfId="0" applyNumberFormat="1" applyFont="1" applyFill="1" applyBorder="1" applyAlignment="1">
      <alignment vertical="center"/>
    </xf>
    <xf numFmtId="1" fontId="9" fillId="33" borderId="99" xfId="0" applyNumberFormat="1" applyFont="1" applyFill="1" applyBorder="1" applyAlignment="1">
      <alignment horizontal="center"/>
    </xf>
    <xf numFmtId="1" fontId="1" fillId="33" borderId="99" xfId="0" applyNumberFormat="1" applyFont="1" applyFill="1" applyBorder="1" applyAlignment="1">
      <alignment horizontal="center"/>
    </xf>
    <xf numFmtId="1" fontId="3" fillId="33" borderId="100" xfId="0" applyNumberFormat="1" applyFont="1" applyFill="1" applyBorder="1" applyAlignment="1">
      <alignment/>
    </xf>
    <xf numFmtId="174" fontId="2" fillId="0" borderId="85" xfId="0" applyNumberFormat="1" applyFont="1" applyBorder="1" applyAlignment="1" quotePrefix="1">
      <alignment horizontal="center" vertical="center" wrapText="1"/>
    </xf>
    <xf numFmtId="174" fontId="2" fillId="0" borderId="86" xfId="0" applyNumberFormat="1" applyFont="1" applyBorder="1" applyAlignment="1" quotePrefix="1">
      <alignment horizontal="center" vertical="center" wrapText="1"/>
    </xf>
    <xf numFmtId="174" fontId="2" fillId="0" borderId="87" xfId="0" applyNumberFormat="1" applyFont="1" applyBorder="1" applyAlignment="1" quotePrefix="1">
      <alignment horizontal="center" vertical="center" wrapText="1"/>
    </xf>
    <xf numFmtId="174" fontId="2" fillId="0" borderId="86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/>
    </xf>
    <xf numFmtId="10" fontId="2" fillId="0" borderId="85" xfId="0" applyNumberFormat="1" applyFont="1" applyFill="1" applyBorder="1" applyAlignment="1" quotePrefix="1">
      <alignment horizontal="center" vertical="center" wrapText="1"/>
    </xf>
    <xf numFmtId="174" fontId="2" fillId="0" borderId="85" xfId="0" applyNumberFormat="1" applyFont="1" applyFill="1" applyBorder="1" applyAlignment="1">
      <alignment horizontal="center" vertical="center" wrapText="1"/>
    </xf>
    <xf numFmtId="177" fontId="2" fillId="0" borderId="85" xfId="0" applyNumberFormat="1" applyFont="1" applyFill="1" applyBorder="1" applyAlignment="1" quotePrefix="1">
      <alignment horizontal="center" vertical="center" wrapText="1"/>
    </xf>
    <xf numFmtId="179" fontId="2" fillId="0" borderId="85" xfId="0" applyNumberFormat="1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/>
    </xf>
    <xf numFmtId="172" fontId="2" fillId="0" borderId="101" xfId="0" applyNumberFormat="1" applyFont="1" applyFill="1" applyBorder="1" applyAlignment="1">
      <alignment vertical="center"/>
    </xf>
    <xf numFmtId="172" fontId="2" fillId="0" borderId="101" xfId="0" applyNumberFormat="1" applyFont="1" applyFill="1" applyBorder="1" applyAlignment="1">
      <alignment horizontal="center" vertical="center"/>
    </xf>
    <xf numFmtId="10" fontId="2" fillId="0" borderId="101" xfId="0" applyNumberFormat="1" applyFont="1" applyFill="1" applyBorder="1" applyAlignment="1" quotePrefix="1">
      <alignment horizontal="center" vertical="center" wrapText="1"/>
    </xf>
    <xf numFmtId="174" fontId="2" fillId="0" borderId="101" xfId="0" applyNumberFormat="1" applyFont="1" applyFill="1" applyBorder="1" applyAlignment="1">
      <alignment horizontal="center" vertical="center" wrapText="1"/>
    </xf>
    <xf numFmtId="173" fontId="2" fillId="0" borderId="101" xfId="0" applyNumberFormat="1" applyFont="1" applyFill="1" applyBorder="1" applyAlignment="1">
      <alignment horizontal="center" vertical="center" wrapText="1"/>
    </xf>
    <xf numFmtId="177" fontId="2" fillId="0" borderId="101" xfId="0" applyNumberFormat="1" applyFont="1" applyFill="1" applyBorder="1" applyAlignment="1" quotePrefix="1">
      <alignment horizontal="center" vertical="center" wrapText="1"/>
    </xf>
    <xf numFmtId="177" fontId="2" fillId="0" borderId="101" xfId="0" applyNumberFormat="1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vertical="center"/>
    </xf>
    <xf numFmtId="172" fontId="2" fillId="0" borderId="102" xfId="0" applyNumberFormat="1" applyFont="1" applyFill="1" applyBorder="1" applyAlignment="1">
      <alignment vertical="center"/>
    </xf>
    <xf numFmtId="172" fontId="2" fillId="0" borderId="102" xfId="0" applyNumberFormat="1" applyFont="1" applyFill="1" applyBorder="1" applyAlignment="1">
      <alignment horizontal="center" vertical="center"/>
    </xf>
    <xf numFmtId="10" fontId="2" fillId="0" borderId="102" xfId="0" applyNumberFormat="1" applyFont="1" applyBorder="1" applyAlignment="1">
      <alignment horizontal="center" vertical="center" wrapText="1"/>
    </xf>
    <xf numFmtId="174" fontId="2" fillId="0" borderId="102" xfId="0" applyNumberFormat="1" applyFont="1" applyBorder="1" applyAlignment="1">
      <alignment horizontal="center" vertical="center" wrapText="1"/>
    </xf>
    <xf numFmtId="173" fontId="2" fillId="0" borderId="102" xfId="0" applyNumberFormat="1" applyFont="1" applyBorder="1" applyAlignment="1">
      <alignment horizontal="center" vertical="center" wrapText="1"/>
    </xf>
    <xf numFmtId="177" fontId="2" fillId="0" borderId="102" xfId="0" applyNumberFormat="1" applyFont="1" applyFill="1" applyBorder="1" applyAlignment="1">
      <alignment horizontal="center" vertical="center" wrapText="1"/>
    </xf>
    <xf numFmtId="173" fontId="2" fillId="0" borderId="102" xfId="0" applyNumberFormat="1" applyFont="1" applyFill="1" applyBorder="1" applyAlignment="1">
      <alignment horizontal="center" vertical="center" wrapText="1"/>
    </xf>
    <xf numFmtId="179" fontId="2" fillId="0" borderId="17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Alignment="1">
      <alignment/>
    </xf>
    <xf numFmtId="0" fontId="2" fillId="0" borderId="60" xfId="0" applyFont="1" applyBorder="1" applyAlignment="1">
      <alignment vertical="center"/>
    </xf>
    <xf numFmtId="3" fontId="3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173" fontId="3" fillId="0" borderId="14" xfId="0" applyNumberFormat="1" applyFont="1" applyBorder="1" applyAlignment="1">
      <alignment/>
    </xf>
    <xf numFmtId="173" fontId="3" fillId="0" borderId="68" xfId="0" applyNumberFormat="1" applyFont="1" applyBorder="1" applyAlignment="1">
      <alignment/>
    </xf>
    <xf numFmtId="173" fontId="3" fillId="0" borderId="69" xfId="0" applyNumberFormat="1" applyFont="1" applyBorder="1" applyAlignment="1">
      <alignment/>
    </xf>
    <xf numFmtId="173" fontId="9" fillId="0" borderId="13" xfId="0" applyNumberFormat="1" applyFont="1" applyBorder="1" applyAlignment="1">
      <alignment/>
    </xf>
    <xf numFmtId="173" fontId="9" fillId="0" borderId="12" xfId="0" applyNumberFormat="1" applyFont="1" applyBorder="1" applyAlignment="1">
      <alignment/>
    </xf>
    <xf numFmtId="173" fontId="3" fillId="23" borderId="48" xfId="0" applyNumberFormat="1" applyFont="1" applyFill="1" applyBorder="1" applyAlignment="1">
      <alignment/>
    </xf>
    <xf numFmtId="173" fontId="3" fillId="23" borderId="49" xfId="0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0" fontId="9" fillId="42" borderId="79" xfId="0" applyFont="1" applyFill="1" applyBorder="1" applyAlignment="1">
      <alignment horizontal="center" vertical="center"/>
    </xf>
    <xf numFmtId="0" fontId="2" fillId="42" borderId="87" xfId="0" applyFont="1" applyFill="1" applyBorder="1" applyAlignment="1">
      <alignment vertical="center"/>
    </xf>
    <xf numFmtId="0" fontId="9" fillId="42" borderId="18" xfId="0" applyFont="1" applyFill="1" applyBorder="1" applyAlignment="1">
      <alignment horizontal="center" vertical="center"/>
    </xf>
    <xf numFmtId="0" fontId="2" fillId="42" borderId="102" xfId="0" applyFont="1" applyFill="1" applyBorder="1" applyAlignment="1">
      <alignment vertical="center"/>
    </xf>
    <xf numFmtId="0" fontId="6" fillId="42" borderId="0" xfId="0" applyFont="1" applyFill="1" applyAlignment="1">
      <alignment horizontal="center"/>
    </xf>
    <xf numFmtId="0" fontId="0" fillId="42" borderId="0" xfId="0" applyFill="1" applyAlignment="1">
      <alignment/>
    </xf>
    <xf numFmtId="3" fontId="50" fillId="42" borderId="0" xfId="0" applyNumberFormat="1" applyFont="1" applyFill="1" applyAlignment="1">
      <alignment/>
    </xf>
    <xf numFmtId="3" fontId="3" fillId="42" borderId="0" xfId="0" applyNumberFormat="1" applyFont="1" applyFill="1" applyAlignment="1">
      <alignment/>
    </xf>
    <xf numFmtId="173" fontId="50" fillId="42" borderId="0" xfId="0" applyNumberFormat="1" applyFont="1" applyFill="1" applyAlignment="1">
      <alignment/>
    </xf>
    <xf numFmtId="173" fontId="3" fillId="42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horizontal="center" vertical="center" wrapText="1"/>
    </xf>
    <xf numFmtId="177" fontId="2" fillId="0" borderId="80" xfId="0" applyNumberFormat="1" applyFont="1" applyFill="1" applyBorder="1" applyAlignment="1">
      <alignment horizontal="center" vertical="center" wrapText="1"/>
    </xf>
    <xf numFmtId="177" fontId="2" fillId="0" borderId="89" xfId="0" applyNumberFormat="1" applyFont="1" applyFill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/>
    </xf>
    <xf numFmtId="0" fontId="2" fillId="0" borderId="101" xfId="0" applyFont="1" applyBorder="1" applyAlignment="1">
      <alignment vertical="center"/>
    </xf>
    <xf numFmtId="10" fontId="2" fillId="0" borderId="101" xfId="0" applyNumberFormat="1" applyFont="1" applyBorder="1" applyAlignment="1">
      <alignment horizontal="center" vertical="center" wrapText="1"/>
    </xf>
    <xf numFmtId="174" fontId="2" fillId="0" borderId="101" xfId="0" applyNumberFormat="1" applyFont="1" applyBorder="1" applyAlignment="1">
      <alignment horizontal="center" vertical="center" wrapText="1"/>
    </xf>
    <xf numFmtId="173" fontId="2" fillId="0" borderId="101" xfId="0" applyNumberFormat="1" applyFont="1" applyBorder="1" applyAlignment="1">
      <alignment horizontal="center" vertical="center" wrapText="1"/>
    </xf>
    <xf numFmtId="177" fontId="2" fillId="0" borderId="78" xfId="0" applyNumberFormat="1" applyFont="1" applyFill="1" applyBorder="1" applyAlignment="1">
      <alignment horizontal="center" vertical="center" wrapText="1"/>
    </xf>
    <xf numFmtId="172" fontId="2" fillId="0" borderId="34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horizontal="center"/>
    </xf>
    <xf numFmtId="172" fontId="48" fillId="6" borderId="10" xfId="0" applyNumberFormat="1" applyFont="1" applyFill="1" applyBorder="1" applyAlignment="1">
      <alignment vertical="center"/>
    </xf>
    <xf numFmtId="4" fontId="7" fillId="24" borderId="1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72" fontId="2" fillId="0" borderId="86" xfId="0" applyNumberFormat="1" applyFont="1" applyFill="1" applyBorder="1" applyAlignment="1">
      <alignment/>
    </xf>
    <xf numFmtId="173" fontId="1" fillId="0" borderId="16" xfId="0" applyNumberFormat="1" applyFont="1" applyFill="1" applyBorder="1" applyAlignment="1">
      <alignment vertical="center"/>
    </xf>
    <xf numFmtId="3" fontId="1" fillId="0" borderId="64" xfId="0" applyNumberFormat="1" applyFont="1" applyFill="1" applyBorder="1" applyAlignment="1">
      <alignment vertical="center"/>
    </xf>
    <xf numFmtId="3" fontId="1" fillId="0" borderId="56" xfId="0" applyNumberFormat="1" applyFont="1" applyFill="1" applyBorder="1" applyAlignment="1">
      <alignment vertical="center"/>
    </xf>
    <xf numFmtId="0" fontId="2" fillId="0" borderId="102" xfId="0" applyFont="1" applyBorder="1" applyAlignment="1">
      <alignment horizontal="center" vertical="center" wrapText="1"/>
    </xf>
    <xf numFmtId="172" fontId="2" fillId="0" borderId="102" xfId="0" applyNumberFormat="1" applyFont="1" applyFill="1" applyBorder="1" applyAlignment="1">
      <alignment horizontal="right" vertical="center"/>
    </xf>
    <xf numFmtId="172" fontId="1" fillId="0" borderId="102" xfId="0" applyNumberFormat="1" applyFont="1" applyFill="1" applyBorder="1" applyAlignment="1">
      <alignment horizontal="right" vertical="center"/>
    </xf>
    <xf numFmtId="173" fontId="1" fillId="38" borderId="56" xfId="0" applyNumberFormat="1" applyFont="1" applyFill="1" applyBorder="1" applyAlignment="1">
      <alignment vertical="center"/>
    </xf>
    <xf numFmtId="173" fontId="2" fillId="24" borderId="37" xfId="0" applyNumberFormat="1" applyFont="1" applyFill="1" applyBorder="1" applyAlignment="1">
      <alignment vertical="center"/>
    </xf>
    <xf numFmtId="173" fontId="2" fillId="24" borderId="65" xfId="0" applyNumberFormat="1" applyFont="1" applyFill="1" applyBorder="1" applyAlignment="1">
      <alignment vertical="center"/>
    </xf>
    <xf numFmtId="173" fontId="1" fillId="24" borderId="32" xfId="0" applyNumberFormat="1" applyFont="1" applyFill="1" applyBorder="1" applyAlignment="1">
      <alignment vertical="center"/>
    </xf>
    <xf numFmtId="173" fontId="2" fillId="24" borderId="25" xfId="0" applyNumberFormat="1" applyFont="1" applyFill="1" applyBorder="1" applyAlignment="1">
      <alignment vertical="center"/>
    </xf>
    <xf numFmtId="173" fontId="2" fillId="24" borderId="84" xfId="0" applyNumberFormat="1" applyFont="1" applyFill="1" applyBorder="1" applyAlignment="1">
      <alignment vertical="center"/>
    </xf>
    <xf numFmtId="173" fontId="1" fillId="24" borderId="28" xfId="0" applyNumberFormat="1" applyFont="1" applyFill="1" applyBorder="1" applyAlignment="1">
      <alignment vertical="center"/>
    </xf>
    <xf numFmtId="173" fontId="1" fillId="24" borderId="11" xfId="0" applyNumberFormat="1" applyFont="1" applyFill="1" applyBorder="1" applyAlignment="1">
      <alignment vertical="center"/>
    </xf>
    <xf numFmtId="172" fontId="2" fillId="24" borderId="37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horizontal="center" vertical="center" wrapText="1"/>
    </xf>
    <xf numFmtId="177" fontId="2" fillId="0" borderId="104" xfId="0" applyNumberFormat="1" applyFont="1" applyFill="1" applyBorder="1" applyAlignment="1">
      <alignment horizontal="center" vertical="center" wrapText="1"/>
    </xf>
    <xf numFmtId="177" fontId="2" fillId="0" borderId="105" xfId="0" applyNumberFormat="1" applyFont="1" applyFill="1" applyBorder="1" applyAlignment="1">
      <alignment horizontal="center" vertical="center" wrapText="1"/>
    </xf>
    <xf numFmtId="179" fontId="2" fillId="0" borderId="103" xfId="0" applyNumberFormat="1" applyFont="1" applyFill="1" applyBorder="1" applyAlignment="1">
      <alignment horizontal="center" vertical="center" wrapText="1"/>
    </xf>
    <xf numFmtId="179" fontId="2" fillId="0" borderId="104" xfId="0" applyNumberFormat="1" applyFont="1" applyFill="1" applyBorder="1" applyAlignment="1">
      <alignment horizontal="center" vertical="center" wrapText="1"/>
    </xf>
    <xf numFmtId="179" fontId="2" fillId="0" borderId="105" xfId="0" applyNumberFormat="1" applyFont="1" applyFill="1" applyBorder="1" applyAlignment="1">
      <alignment horizontal="center" vertical="center" wrapText="1"/>
    </xf>
    <xf numFmtId="179" fontId="2" fillId="0" borderId="53" xfId="0" applyNumberFormat="1" applyFont="1" applyFill="1" applyBorder="1" applyAlignment="1">
      <alignment horizontal="center" vertical="center" wrapText="1"/>
    </xf>
    <xf numFmtId="177" fontId="2" fillId="0" borderId="77" xfId="0" applyNumberFormat="1" applyFont="1" applyFill="1" applyBorder="1" applyAlignment="1">
      <alignment horizontal="center" vertical="center" wrapText="1"/>
    </xf>
    <xf numFmtId="17" fontId="1" fillId="24" borderId="20" xfId="0" applyNumberFormat="1" applyFont="1" applyFill="1" applyBorder="1" applyAlignment="1">
      <alignment horizontal="center" vertical="center"/>
    </xf>
    <xf numFmtId="0" fontId="1" fillId="24" borderId="56" xfId="0" applyFont="1" applyFill="1" applyBorder="1" applyAlignment="1">
      <alignment horizontal="center" vertical="center"/>
    </xf>
    <xf numFmtId="173" fontId="9" fillId="24" borderId="20" xfId="0" applyNumberFormat="1" applyFont="1" applyFill="1" applyBorder="1" applyAlignment="1">
      <alignment horizontal="center" vertical="center"/>
    </xf>
    <xf numFmtId="17" fontId="1" fillId="24" borderId="56" xfId="0" applyNumberFormat="1" applyFont="1" applyFill="1" applyBorder="1" applyAlignment="1">
      <alignment horizontal="center" vertical="center"/>
    </xf>
    <xf numFmtId="17" fontId="1" fillId="24" borderId="57" xfId="0" applyNumberFormat="1" applyFont="1" applyFill="1" applyBorder="1" applyAlignment="1">
      <alignment horizontal="center" vertical="center"/>
    </xf>
    <xf numFmtId="17" fontId="1" fillId="24" borderId="41" xfId="0" applyNumberFormat="1" applyFont="1" applyFill="1" applyBorder="1" applyAlignment="1">
      <alignment horizontal="center" vertical="center"/>
    </xf>
    <xf numFmtId="17" fontId="1" fillId="24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9" fillId="23" borderId="28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0" fontId="9" fillId="23" borderId="106" xfId="0" applyFont="1" applyFill="1" applyBorder="1" applyAlignment="1">
      <alignment horizontal="center" vertical="center"/>
    </xf>
    <xf numFmtId="0" fontId="9" fillId="23" borderId="29" xfId="0" applyFont="1" applyFill="1" applyBorder="1" applyAlignment="1">
      <alignment horizontal="center" vertical="center"/>
    </xf>
    <xf numFmtId="0" fontId="9" fillId="23" borderId="107" xfId="0" applyFont="1" applyFill="1" applyBorder="1" applyAlignment="1">
      <alignment horizontal="center" vertical="center"/>
    </xf>
    <xf numFmtId="0" fontId="9" fillId="23" borderId="108" xfId="0" applyFont="1" applyFill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 wrapText="1"/>
    </xf>
    <xf numFmtId="0" fontId="1" fillId="24" borderId="70" xfId="0" applyFont="1" applyFill="1" applyBorder="1" applyAlignment="1">
      <alignment horizontal="center" vertical="center" wrapText="1"/>
    </xf>
    <xf numFmtId="0" fontId="14" fillId="25" borderId="42" xfId="0" applyFont="1" applyFill="1" applyBorder="1" applyAlignment="1">
      <alignment horizontal="center" vertical="center"/>
    </xf>
    <xf numFmtId="1" fontId="1" fillId="24" borderId="11" xfId="0" applyNumberFormat="1" applyFont="1" applyFill="1" applyBorder="1" applyAlignment="1">
      <alignment horizontal="center" vertical="center"/>
    </xf>
    <xf numFmtId="1" fontId="1" fillId="24" borderId="20" xfId="0" applyNumberFormat="1" applyFont="1" applyFill="1" applyBorder="1" applyAlignment="1">
      <alignment horizontal="center" vertical="center"/>
    </xf>
    <xf numFmtId="173" fontId="9" fillId="24" borderId="11" xfId="0" applyNumberFormat="1" applyFont="1" applyFill="1" applyBorder="1" applyAlignment="1">
      <alignment horizontal="center" vertical="center"/>
    </xf>
    <xf numFmtId="0" fontId="1" fillId="24" borderId="57" xfId="0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24" borderId="21" xfId="0" applyNumberFormat="1" applyFont="1" applyFill="1" applyBorder="1" applyAlignment="1">
      <alignment horizontal="center" vertical="center"/>
    </xf>
    <xf numFmtId="3" fontId="9" fillId="24" borderId="56" xfId="0" applyNumberFormat="1" applyFont="1" applyFill="1" applyBorder="1" applyAlignment="1">
      <alignment horizontal="center" vertical="center"/>
    </xf>
    <xf numFmtId="3" fontId="9" fillId="24" borderId="41" xfId="0" applyNumberFormat="1" applyFont="1" applyFill="1" applyBorder="1" applyAlignment="1">
      <alignment horizontal="center" vertical="center"/>
    </xf>
    <xf numFmtId="173" fontId="9" fillId="24" borderId="2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/>
    </xf>
    <xf numFmtId="0" fontId="18" fillId="23" borderId="21" xfId="0" applyFont="1" applyFill="1" applyBorder="1" applyAlignment="1">
      <alignment horizontal="center"/>
    </xf>
    <xf numFmtId="0" fontId="18" fillId="23" borderId="20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center"/>
    </xf>
    <xf numFmtId="0" fontId="2" fillId="0" borderId="85" xfId="0" applyFont="1" applyBorder="1" applyAlignment="1">
      <alignment/>
    </xf>
    <xf numFmtId="0" fontId="3" fillId="0" borderId="109" xfId="0" applyFont="1" applyBorder="1" applyAlignment="1">
      <alignment horizontal="left"/>
    </xf>
    <xf numFmtId="0" fontId="3" fillId="0" borderId="97" xfId="0" applyFont="1" applyBorder="1" applyAlignment="1">
      <alignment horizontal="left"/>
    </xf>
    <xf numFmtId="0" fontId="3" fillId="0" borderId="94" xfId="0" applyFont="1" applyBorder="1" applyAlignment="1">
      <alignment horizontal="left"/>
    </xf>
    <xf numFmtId="172" fontId="48" fillId="24" borderId="34" xfId="0" applyNumberFormat="1" applyFont="1" applyFill="1" applyBorder="1" applyAlignment="1">
      <alignment horizontal="center" vertical="center"/>
    </xf>
    <xf numFmtId="172" fontId="48" fillId="24" borderId="70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/>
    </xf>
    <xf numFmtId="0" fontId="1" fillId="24" borderId="87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3" fillId="0" borderId="110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111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9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72" fontId="7" fillId="24" borderId="111" xfId="0" applyNumberFormat="1" applyFont="1" applyFill="1" applyBorder="1" applyAlignment="1">
      <alignment horizontal="center"/>
    </xf>
    <xf numFmtId="172" fontId="7" fillId="24" borderId="95" xfId="0" applyNumberFormat="1" applyFont="1" applyFill="1" applyBorder="1" applyAlignment="1">
      <alignment horizontal="center"/>
    </xf>
    <xf numFmtId="0" fontId="1" fillId="24" borderId="56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88" xfId="0" applyFont="1" applyFill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23" borderId="29" xfId="0" applyFont="1" applyFill="1" applyBorder="1" applyAlignment="1">
      <alignment horizontal="center" vertical="center"/>
    </xf>
    <xf numFmtId="0" fontId="1" fillId="23" borderId="25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/>
    </xf>
    <xf numFmtId="0" fontId="1" fillId="23" borderId="2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" fillId="23" borderId="56" xfId="0" applyFont="1" applyFill="1" applyBorder="1" applyAlignment="1">
      <alignment horizontal="center" vertical="center" wrapText="1"/>
    </xf>
    <xf numFmtId="0" fontId="1" fillId="23" borderId="4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externalLink" Target="externalLinks/externalLink32.xml" /><Relationship Id="rId47" Type="http://schemas.openxmlformats.org/officeDocument/2006/relationships/externalLink" Target="externalLinks/externalLink33.xml" /><Relationship Id="rId48" Type="http://schemas.openxmlformats.org/officeDocument/2006/relationships/externalLink" Target="externalLinks/externalLink34.xml" /><Relationship Id="rId49" Type="http://schemas.openxmlformats.org/officeDocument/2006/relationships/externalLink" Target="externalLinks/externalLink35.xml" /><Relationship Id="rId50" Type="http://schemas.openxmlformats.org/officeDocument/2006/relationships/externalLink" Target="externalLinks/externalLink36.xml" /><Relationship Id="rId51" Type="http://schemas.openxmlformats.org/officeDocument/2006/relationships/externalLink" Target="externalLinks/externalLink37.xml" /><Relationship Id="rId52" Type="http://schemas.openxmlformats.org/officeDocument/2006/relationships/externalLink" Target="externalLinks/externalLink38.xml" /><Relationship Id="rId53" Type="http://schemas.openxmlformats.org/officeDocument/2006/relationships/externalLink" Target="externalLinks/externalLink39.xml" /><Relationship Id="rId54" Type="http://schemas.openxmlformats.org/officeDocument/2006/relationships/externalLink" Target="externalLinks/externalLink40.xml" /><Relationship Id="rId55" Type="http://schemas.openxmlformats.org/officeDocument/2006/relationships/externalLink" Target="externalLinks/externalLink41.xml" /><Relationship Id="rId56" Type="http://schemas.openxmlformats.org/officeDocument/2006/relationships/externalLink" Target="externalLinks/externalLink42.xml" /><Relationship Id="rId57" Type="http://schemas.openxmlformats.org/officeDocument/2006/relationships/externalLink" Target="externalLinks/externalLink43.xml" /><Relationship Id="rId58" Type="http://schemas.openxmlformats.org/officeDocument/2006/relationships/externalLink" Target="externalLinks/externalLink44.xml" /><Relationship Id="rId59" Type="http://schemas.openxmlformats.org/officeDocument/2006/relationships/externalLink" Target="externalLinks/externalLink45.xml" /><Relationship Id="rId60" Type="http://schemas.openxmlformats.org/officeDocument/2006/relationships/externalLink" Target="externalLinks/externalLink46.xml" /><Relationship Id="rId61" Type="http://schemas.openxmlformats.org/officeDocument/2006/relationships/externalLink" Target="externalLinks/externalLink47.xml" /><Relationship Id="rId62" Type="http://schemas.openxmlformats.org/officeDocument/2006/relationships/externalLink" Target="externalLinks/externalLink48.xml" /><Relationship Id="rId63" Type="http://schemas.openxmlformats.org/officeDocument/2006/relationships/externalLink" Target="externalLinks/externalLink49.xml" /><Relationship Id="rId64" Type="http://schemas.openxmlformats.org/officeDocument/2006/relationships/externalLink" Target="externalLinks/externalLink50.xml" /><Relationship Id="rId65" Type="http://schemas.openxmlformats.org/officeDocument/2006/relationships/externalLink" Target="externalLinks/externalLink51.xml" /><Relationship Id="rId66" Type="http://schemas.openxmlformats.org/officeDocument/2006/relationships/externalLink" Target="externalLinks/externalLink52.xml" /><Relationship Id="rId67" Type="http://schemas.openxmlformats.org/officeDocument/2006/relationships/externalLink" Target="externalLinks/externalLink53.xml" /><Relationship Id="rId68" Type="http://schemas.openxmlformats.org/officeDocument/2006/relationships/externalLink" Target="externalLinks/externalLink54.xml" /><Relationship Id="rId69" Type="http://schemas.openxmlformats.org/officeDocument/2006/relationships/externalLink" Target="externalLinks/externalLink55.xml" /><Relationship Id="rId70" Type="http://schemas.openxmlformats.org/officeDocument/2006/relationships/externalLink" Target="externalLinks/externalLink56.xml" /><Relationship Id="rId71" Type="http://schemas.openxmlformats.org/officeDocument/2006/relationships/externalLink" Target="externalLinks/externalLink57.xml" /><Relationship Id="rId72" Type="http://schemas.openxmlformats.org/officeDocument/2006/relationships/externalLink" Target="externalLinks/externalLink58.xml" /><Relationship Id="rId73" Type="http://schemas.openxmlformats.org/officeDocument/2006/relationships/externalLink" Target="externalLinks/externalLink59.xml" /><Relationship Id="rId74" Type="http://schemas.openxmlformats.org/officeDocument/2006/relationships/externalLink" Target="externalLinks/externalLink60.xml" /><Relationship Id="rId75" Type="http://schemas.openxmlformats.org/officeDocument/2006/relationships/externalLink" Target="externalLinks/externalLink61.xml" /><Relationship Id="rId76" Type="http://schemas.openxmlformats.org/officeDocument/2006/relationships/externalLink" Target="externalLinks/externalLink62.xml" /><Relationship Id="rId77" Type="http://schemas.openxmlformats.org/officeDocument/2006/relationships/externalLink" Target="externalLinks/externalLink63.xml" /><Relationship Id="rId78" Type="http://schemas.openxmlformats.org/officeDocument/2006/relationships/externalLink" Target="externalLinks/externalLink64.xml" /><Relationship Id="rId79" Type="http://schemas.openxmlformats.org/officeDocument/2006/relationships/externalLink" Target="externalLinks/externalLink65.xml" /><Relationship Id="rId80" Type="http://schemas.openxmlformats.org/officeDocument/2006/relationships/externalLink" Target="externalLinks/externalLink66.xml" /><Relationship Id="rId81" Type="http://schemas.openxmlformats.org/officeDocument/2006/relationships/externalLink" Target="externalLinks/externalLink67.xml" /><Relationship Id="rId82" Type="http://schemas.openxmlformats.org/officeDocument/2006/relationships/externalLink" Target="externalLinks/externalLink68.xml" /><Relationship Id="rId8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25"/>
          <c:y val="0.16525"/>
          <c:w val="0.4995"/>
          <c:h val="0.6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'STOCK x MUNICIPIO'!$D$10:$D$27</c:f>
              <c:strCache/>
            </c:strRef>
          </c:cat>
          <c:val>
            <c:numRef>
              <c:f>'STOCK x MUNICIPIO'!$K$10:$K$27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06275"/>
          <c:w val="0.1945"/>
          <c:h val="0.8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STOCK POR MONEDA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25"/>
          <c:y val="0.407"/>
          <c:w val="0.70825"/>
          <c:h val="0.53225"/>
        </c:manualLayout>
      </c:layout>
      <c:pie3DChart>
        <c:varyColors val="1"/>
        <c:ser>
          <c:idx val="0"/>
          <c:order val="0"/>
          <c:tx>
            <c:v>STOCK POR MONEDA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'STOCK X TIPO DEUDA'!$H$10:$H$11</c:f>
              <c:strCache/>
            </c:strRef>
          </c:cat>
          <c:val>
            <c:numRef>
              <c:f>'STOCK X TIPO DEUDA'!$K$10:$K$11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POR ORIGEN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25"/>
          <c:y val="0.43375"/>
          <c:w val="0.50775"/>
          <c:h val="0.3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DEUDA'!$F$11,'STOCK X TIPO DEUDA'!$F$21,'STOCK X TIPO DEUDA'!$F$25)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('STOCK X TIPO DEUDA'!$D$11,'STOCK X TIPO DEUDA'!$D$21,'STOCK X TIPO DEUDA'!$D$25)</c:f>
              <c:strCache/>
            </c:strRef>
          </c:cat>
          <c:val>
            <c:numRef>
              <c:f>('STOCK X TIPO DEUDA'!#REF!,'STOCK X TIPO DEUDA'!#REF!,'STOCK X TIPO DEUDA'!#REF!)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 DEUDA MUNICIPIOS A LA FECHA
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325"/>
          <c:w val="0.9712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v>COMPARATIVA STOCK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'COMPARATIVA 2007-2011'!$B$10:$B$27</c:f>
              <c:strCache/>
            </c:strRef>
          </c:cat>
          <c:val>
            <c:numRef>
              <c:f>'COMPARATIVA 2007-2011'!$F$10:$F$27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2739965"/>
        <c:axId val="26224230"/>
      </c:bar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auto val="1"/>
        <c:lblOffset val="100"/>
        <c:tickLblSkip val="1"/>
        <c:noMultiLvlLbl val="0"/>
      </c:catAx>
      <c:valAx>
        <c:axId val="26224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39965"/>
        <c:crossesAt val="1"/>
        <c:crossBetween val="between"/>
        <c:dispUnits/>
        <c:majorUnit val="25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9525</xdr:rowOff>
    </xdr:from>
    <xdr:to>
      <xdr:col>1</xdr:col>
      <xdr:colOff>857250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667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323850</xdr:colOff>
      <xdr:row>2</xdr:row>
      <xdr:rowOff>209550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66675</xdr:rowOff>
    </xdr:from>
    <xdr:to>
      <xdr:col>11</xdr:col>
      <xdr:colOff>9525</xdr:colOff>
      <xdr:row>63</xdr:row>
      <xdr:rowOff>9525</xdr:rowOff>
    </xdr:to>
    <xdr:graphicFrame>
      <xdr:nvGraphicFramePr>
        <xdr:cNvPr id="2" name="Gráfico 1027"/>
        <xdr:cNvGraphicFramePr/>
      </xdr:nvGraphicFramePr>
      <xdr:xfrm>
        <a:off x="1143000" y="5715000"/>
        <a:ext cx="6400800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352425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55</xdr:row>
      <xdr:rowOff>19050</xdr:rowOff>
    </xdr:from>
    <xdr:to>
      <xdr:col>8</xdr:col>
      <xdr:colOff>247650</xdr:colOff>
      <xdr:row>75</xdr:row>
      <xdr:rowOff>0</xdr:rowOff>
    </xdr:to>
    <xdr:graphicFrame>
      <xdr:nvGraphicFramePr>
        <xdr:cNvPr id="2" name="Gráfico 5"/>
        <xdr:cNvGraphicFramePr/>
      </xdr:nvGraphicFramePr>
      <xdr:xfrm>
        <a:off x="904875" y="9382125"/>
        <a:ext cx="60293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29</xdr:row>
      <xdr:rowOff>28575</xdr:rowOff>
    </xdr:from>
    <xdr:to>
      <xdr:col>8</xdr:col>
      <xdr:colOff>238125</xdr:colOff>
      <xdr:row>53</xdr:row>
      <xdr:rowOff>28575</xdr:rowOff>
    </xdr:to>
    <xdr:graphicFrame>
      <xdr:nvGraphicFramePr>
        <xdr:cNvPr id="3" name="Gráfico 11"/>
        <xdr:cNvGraphicFramePr/>
      </xdr:nvGraphicFramePr>
      <xdr:xfrm>
        <a:off x="914400" y="5181600"/>
        <a:ext cx="6010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19050</xdr:rowOff>
    </xdr:from>
    <xdr:to>
      <xdr:col>1</xdr:col>
      <xdr:colOff>695325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29</xdr:row>
      <xdr:rowOff>19050</xdr:rowOff>
    </xdr:from>
    <xdr:to>
      <xdr:col>11</xdr:col>
      <xdr:colOff>19050</xdr:colOff>
      <xdr:row>63</xdr:row>
      <xdr:rowOff>114300</xdr:rowOff>
    </xdr:to>
    <xdr:graphicFrame>
      <xdr:nvGraphicFramePr>
        <xdr:cNvPr id="2" name="Gráfico 3"/>
        <xdr:cNvGraphicFramePr/>
      </xdr:nvGraphicFramePr>
      <xdr:xfrm>
        <a:off x="476250" y="5762625"/>
        <a:ext cx="66960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1</xdr:row>
      <xdr:rowOff>19050</xdr:rowOff>
    </xdr:from>
    <xdr:to>
      <xdr:col>0</xdr:col>
      <xdr:colOff>1152525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19050</xdr:rowOff>
    </xdr:from>
    <xdr:to>
      <xdr:col>0</xdr:col>
      <xdr:colOff>1123950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19050</xdr:rowOff>
    </xdr:from>
    <xdr:to>
      <xdr:col>0</xdr:col>
      <xdr:colOff>847725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2385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1</xdr:row>
      <xdr:rowOff>0</xdr:rowOff>
    </xdr:from>
    <xdr:to>
      <xdr:col>0</xdr:col>
      <xdr:colOff>876300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8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1</xdr:col>
      <xdr:colOff>704850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143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28575</xdr:rowOff>
    </xdr:from>
    <xdr:to>
      <xdr:col>1</xdr:col>
      <xdr:colOff>781050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PUNGATO\TUPUNGATO-Compra-Inmueble-DAAB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RAFAEL\SAN-RAFAEL-Banco-Naci&#243;n-4,5-millon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MART&#205;N\SAN-MART&#205;N-Refinanciaci&#243;n-BID-BIR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MART&#205;N\SAN-MARTIN-Compra-Bienes-Capit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CARLOS\SAN-CARLOS-Banco-Naci&#243;n-Argentina-2-millones-Mejoramiento-Parque-Automoto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MART&#205;N\SAN%20MARTIN-Pr&#233;stamo-Banco-Supervielle-$2,5-millon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RAFAEL\SAN%20RAFAEL-Compra-Bienes-Capit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RIVADAVIA\RIVADAVIA-Compra-Bienes-Capit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LARGUE\MALARGUE-Compra-Bienes-Capit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MAIP&#218;-Refinanciaci&#243;n-BID-BIR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MAIP&#218;-ENOHSA-PROMES-4,5-mill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PUNGATO\TUPUNGATO-Compra-Bienes-Capita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MAIPU-Compra-Bienes-Capit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MAIPU-Banco-Naci&#243;n-Argentina-8-millon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CAPITAL\CAPITAL-Pr&#233;stamo-Banco-Supervielle-$16-millone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CAPITAL\CAPITAL-Compra-Bienes-Capit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CAPITAL\CAPITAL-Refinanciaci&#243;n-BID-BIRF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CAPITAL\CAPITAL-Refinanciaci&#243;n-Fondo-Infraestructura-Provincia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ENERAL%20ALVEAR\GENERAL-ALVEAR-Refinanciaci&#243;n-BID-BIRF-31-diciembre-20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ENERAL%20ALVEAR\GENERAL-ALVEAR-Compra-Bienes-Capit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UJ&#193;N\LUJAN-Pr&#233;stamo-Banco-CREDICOOP-2,2-millone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UJ&#193;N\LUJAN-Compra-Bienes-Capi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NUY&#193;N\TUNUY&#193;N-Refinanciaci&#243;n-BID-BIRF-31-diciembre-2007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UJ&#193;N\LUJ&#193;N-Canje-Entidades-Financiera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VALLE\LAVALLE-Compra-Bienes-Capit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S%20HERAS\LAS-HERAS-Refinanciaci&#243;n-BID-BIRF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S%20HERAS\LAS-HERAS-Compra-Bienes-Capit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%20PAZ\LA-PAZ-Refinanciaci&#243;n-BID-BIRF-31-diciembre-2007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%20PAZ\LA-PAZ-Compra-Bienes-Capita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JUN&#205;N\JUN&#205;N-Refinanciaci&#243;n-BID-BIRF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JUN&#205;N\JUNIN-Compra-Bienes-Capital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UAYMALL&#201;N\GUAYMALL&#201;N-Refinanciaci&#243;n-en-peso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UAYMALL&#201;N\GUAYMALL&#201;N-Refinanciaci&#243;n-BID-BIR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NUY&#193;N\TUNUYAN-Compra-Bienes-Capita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UAYMALL&#201;N\GUAYMALL&#201;N-Compra-Bienes-Capita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Refinanciaci&#243;n-BID-BIRF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Compra-Bienes-Capita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Canje-Entidades-Financiera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Banco-Naci&#243;n-Argentina-7-millon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MART&#205;N\SAN%20MARTIN-Pr&#233;stamo-Banco-Naci&#243;n-$11,5-millon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TA%20ROSA\SANTA-ROSA-Banco-Naci&#243;n-Argentina-5,055-millone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RIVADAVIA\RIVADAVIA-BID-BIRF-Red-Ga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VALLE\ESTUDIOS%20Y%20OTROS\LAVALLE-Comparativa-2011-ACTUAL-2015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S%20HERAS\ESTUDIOS%20Y%20OTROS\LAS-HERAS-Comparativa-2011-ACTUAL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NUY&#193;N\TUNUYAN-Canje-Entidades-Financiera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A%20PAZ\ESTUDIOS%20Y%20OTROS\LA-PAZ-Comparativa-2011-ACTUAL-201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JUN&#205;N\ESTUDIOS%20Y%20OTROS\JUN&#205;N-Comparativa-2011-ACTUAL-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UAYMALL&#201;N\ESTUDIOS%20Y%20OTROS\GUAYMALL&#201;N-Comparativa-2011-ACTUAL-201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ESTUDIOS%20Y%20OTROS\GODOY-CRUZ-Comparativa-2011-ACTUAL-2015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ENERAL%20ALVEAR\ESTUDIOS%20Y%20OTROS\GENERAL-ALVEAR-Comparativa-2011-ACTUAL-2015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CAPITAL\ESTUDIOS%20Y%20OTROS\CAPITAL-Comparativa-2011-ACTUAL-201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UAYMALL&#201;N\GUAYMALL&#201;N-Banco-Naci&#243;n-Argentina-8-millone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PUNGATO\ESTUDIOS%20Y%20OTROS\TUPUNGATO-Comparativa-2011-ACTUAL-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TA%20ROSA\ESTUDIOS%20Y%20OTROS\SANTA-ROSA-Comparativa-2011-ACTUAL-2015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TUNUY&#193;N\ESTUDIOS%20Y%20OTROS\TUNUY&#193;N-Comparativa-2011-ACTUAL-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TA%20ROSA\SANTA-ROSA-Refinanciaci&#243;n-Decreto-2126-05-en-peso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RAFAEL\ESTUDIOS%20Y%20OTROS\SAN-RAFAEL-Comparativa-2011-ACTUAL-2015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MART&#205;N\ESTUDIOS%20Y%20OTROS\SAN-MART&#205;N-Comparativa-2011-ACTUAL-2015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CARLOS\ESTUDIOS%20Y%20OTROS\SAN-CARLOS-Comparativa-2011-ACTUAL-2015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RIVADAVIA\ESTUDIOS%20Y%20OTROS\RIVADAVIA-Comparativa-2011-ACTUAL-2015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LARGUE\ESTUDIOS%20Y%20OTROS\MALARGUE-Comparativa-2011-ACTUAL-2015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MAIP&#218;\ESTUDIOS%20Y%20OTROS\MAIP&#218;-Comparativa-2011-ACTUAL-201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LUJ&#193;N\ESTUDIOS%20Y%20OTROS\LUJ&#193;N-Comparativa-2011-ACTUAL-201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LIQUIDACIONES\LIQUIDACIONES-Canje-Entidades-Financiera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GODOY%20CRUZ\GODOY-CRUZ-Desendeudamiento-D.N.660-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TA%20ROSA\SANTA-ROSA-Refinanciaci&#243;n-BID-BIRF-31-diciembre-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TA%20ROSA\SANTA-ROSA-Compra-Bienes-Capit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dp01\datos\MUNICIPIOS\SAN%20RAFAEL\SAN-RAFAEL-Refinanciaci&#243;n-BID-BI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10"/>
      <sheetName val="Stock estimado"/>
      <sheetName val="TUPUNGATO-Compra-Inmueble-DAABO"/>
    </sheetNames>
    <sheetDataSet>
      <sheetData sheetId="3">
        <row r="13">
          <cell r="B13">
            <v>9836</v>
          </cell>
          <cell r="D13">
            <v>9836</v>
          </cell>
          <cell r="F13">
            <v>9836</v>
          </cell>
          <cell r="H13">
            <v>9836</v>
          </cell>
          <cell r="J13">
            <v>9836</v>
          </cell>
          <cell r="L13">
            <v>9836</v>
          </cell>
          <cell r="N13">
            <v>9836</v>
          </cell>
          <cell r="P13">
            <v>9836</v>
          </cell>
          <cell r="R13">
            <v>9836</v>
          </cell>
          <cell r="T13">
            <v>9836</v>
          </cell>
          <cell r="V13">
            <v>9836</v>
          </cell>
          <cell r="X13">
            <v>9836</v>
          </cell>
        </row>
        <row r="14">
          <cell r="B14">
            <v>9836</v>
          </cell>
          <cell r="D14">
            <v>9836</v>
          </cell>
          <cell r="F14">
            <v>9836</v>
          </cell>
          <cell r="H14">
            <v>9836</v>
          </cell>
          <cell r="J14">
            <v>9836</v>
          </cell>
          <cell r="L14">
            <v>9836</v>
          </cell>
          <cell r="N14">
            <v>9836</v>
          </cell>
          <cell r="P14">
            <v>9836</v>
          </cell>
          <cell r="R14">
            <v>9836</v>
          </cell>
          <cell r="T14">
            <v>9836</v>
          </cell>
          <cell r="V14">
            <v>9836</v>
          </cell>
          <cell r="X14">
            <v>9836</v>
          </cell>
        </row>
        <row r="15">
          <cell r="B15">
            <v>9836</v>
          </cell>
          <cell r="D15">
            <v>9836</v>
          </cell>
          <cell r="F15">
            <v>9836</v>
          </cell>
          <cell r="H15">
            <v>9836</v>
          </cell>
          <cell r="J15">
            <v>9836</v>
          </cell>
          <cell r="L15">
            <v>9836</v>
          </cell>
          <cell r="N15">
            <v>9836</v>
          </cell>
          <cell r="P15">
            <v>9836</v>
          </cell>
          <cell r="R15">
            <v>9836</v>
          </cell>
          <cell r="T15">
            <v>9836</v>
          </cell>
          <cell r="V15">
            <v>9836</v>
          </cell>
          <cell r="X15">
            <v>9836</v>
          </cell>
        </row>
        <row r="16">
          <cell r="B16">
            <v>9836</v>
          </cell>
          <cell r="D16">
            <v>9836</v>
          </cell>
          <cell r="F16">
            <v>9836</v>
          </cell>
          <cell r="H16">
            <v>9836</v>
          </cell>
          <cell r="J16">
            <v>9836</v>
          </cell>
          <cell r="L16">
            <v>9836</v>
          </cell>
          <cell r="N16">
            <v>9836</v>
          </cell>
          <cell r="P16">
            <v>9836</v>
          </cell>
          <cell r="R16">
            <v>9836</v>
          </cell>
          <cell r="T16">
            <v>9836</v>
          </cell>
          <cell r="V16">
            <v>9836</v>
          </cell>
          <cell r="X16">
            <v>9836</v>
          </cell>
        </row>
        <row r="17">
          <cell r="B17">
            <v>9836</v>
          </cell>
          <cell r="D17">
            <v>9836</v>
          </cell>
          <cell r="F17">
            <v>9836</v>
          </cell>
          <cell r="H17">
            <v>9836</v>
          </cell>
          <cell r="J17">
            <v>9836</v>
          </cell>
          <cell r="L17">
            <v>9836</v>
          </cell>
          <cell r="N17">
            <v>9836</v>
          </cell>
          <cell r="P17">
            <v>9836</v>
          </cell>
          <cell r="R17">
            <v>9836</v>
          </cell>
          <cell r="T17">
            <v>9836</v>
          </cell>
          <cell r="V17">
            <v>9836</v>
          </cell>
          <cell r="X17">
            <v>9836</v>
          </cell>
        </row>
        <row r="18">
          <cell r="B18">
            <v>9836</v>
          </cell>
          <cell r="D18">
            <v>9836</v>
          </cell>
          <cell r="F18">
            <v>9836</v>
          </cell>
          <cell r="H18">
            <v>9836</v>
          </cell>
          <cell r="J18">
            <v>9836</v>
          </cell>
          <cell r="L18">
            <v>9836</v>
          </cell>
          <cell r="N18">
            <v>9836</v>
          </cell>
          <cell r="P18">
            <v>9836</v>
          </cell>
          <cell r="R18">
            <v>9836</v>
          </cell>
          <cell r="T18">
            <v>9836</v>
          </cell>
          <cell r="V18">
            <v>9836</v>
          </cell>
          <cell r="X18">
            <v>9836</v>
          </cell>
        </row>
        <row r="19">
          <cell r="B19">
            <v>9836</v>
          </cell>
          <cell r="D19">
            <v>9836</v>
          </cell>
          <cell r="F19">
            <v>9836</v>
          </cell>
          <cell r="H19">
            <v>9836</v>
          </cell>
          <cell r="J19">
            <v>9836</v>
          </cell>
          <cell r="L19">
            <v>9836</v>
          </cell>
          <cell r="N19">
            <v>9836</v>
          </cell>
          <cell r="P19">
            <v>9836</v>
          </cell>
          <cell r="R19">
            <v>9836</v>
          </cell>
          <cell r="T19">
            <v>9836</v>
          </cell>
          <cell r="V19">
            <v>9836</v>
          </cell>
          <cell r="X19">
            <v>9836</v>
          </cell>
        </row>
        <row r="20">
          <cell r="B20">
            <v>9836</v>
          </cell>
          <cell r="D20">
            <v>9836</v>
          </cell>
          <cell r="F20">
            <v>9836</v>
          </cell>
          <cell r="H20">
            <v>9836</v>
          </cell>
          <cell r="J20">
            <v>9836</v>
          </cell>
          <cell r="L20">
            <v>9836</v>
          </cell>
          <cell r="N20">
            <v>9836</v>
          </cell>
          <cell r="P20">
            <v>9836</v>
          </cell>
          <cell r="R20">
            <v>9836</v>
          </cell>
          <cell r="T20">
            <v>9836</v>
          </cell>
          <cell r="V20">
            <v>9836</v>
          </cell>
          <cell r="X20">
            <v>9836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Ingresos Anuales"/>
      <sheetName val="Evolución"/>
      <sheetName val="PAGOS 2010"/>
      <sheetName val="Flujo vencimientos"/>
      <sheetName val="Stock Estimado"/>
      <sheetName val="SAN-RAFAEL-Banco-Nación-4,5-mil"/>
    </sheetNames>
    <sheetDataSet>
      <sheetData sheetId="4">
        <row r="13">
          <cell r="B13">
            <v>121388.67</v>
          </cell>
          <cell r="C13">
            <v>36817.98</v>
          </cell>
          <cell r="D13">
            <v>123007.19</v>
          </cell>
          <cell r="E13">
            <v>35199.46</v>
          </cell>
          <cell r="F13">
            <v>124647.28</v>
          </cell>
          <cell r="G13">
            <v>33559.37</v>
          </cell>
          <cell r="H13">
            <v>126309.24</v>
          </cell>
          <cell r="I13">
            <v>31897.4</v>
          </cell>
          <cell r="J13">
            <v>127993.37</v>
          </cell>
          <cell r="K13">
            <v>30213.28</v>
          </cell>
          <cell r="L13">
            <v>129699.95</v>
          </cell>
          <cell r="M13">
            <v>28506.7</v>
          </cell>
          <cell r="N13">
            <v>131429.28</v>
          </cell>
          <cell r="O13">
            <v>26777.37</v>
          </cell>
          <cell r="P13">
            <v>133181.67</v>
          </cell>
          <cell r="Q13">
            <v>25024.98</v>
          </cell>
          <cell r="R13">
            <v>134957.42</v>
          </cell>
          <cell r="S13">
            <v>23249.22</v>
          </cell>
          <cell r="T13">
            <v>136756.86</v>
          </cell>
          <cell r="U13">
            <v>21449.79</v>
          </cell>
          <cell r="V13">
            <v>138580.28</v>
          </cell>
          <cell r="W13">
            <v>19626.37</v>
          </cell>
          <cell r="X13">
            <v>140428.02</v>
          </cell>
          <cell r="Y13">
            <v>17778.63</v>
          </cell>
        </row>
        <row r="14">
          <cell r="B14">
            <v>142300.39</v>
          </cell>
          <cell r="C14">
            <v>15906.26</v>
          </cell>
          <cell r="D14">
            <v>144197.73</v>
          </cell>
          <cell r="E14">
            <v>14008.92</v>
          </cell>
          <cell r="F14">
            <v>146120.37</v>
          </cell>
          <cell r="G14">
            <v>12086.28</v>
          </cell>
          <cell r="H14">
            <v>148068.64</v>
          </cell>
          <cell r="I14">
            <v>10138.01</v>
          </cell>
          <cell r="J14">
            <v>150042.89</v>
          </cell>
          <cell r="K14">
            <v>8163.76</v>
          </cell>
          <cell r="L14">
            <v>152043.46</v>
          </cell>
          <cell r="M14">
            <v>6163.19</v>
          </cell>
          <cell r="N14">
            <v>154070.71</v>
          </cell>
          <cell r="O14">
            <v>4135.94</v>
          </cell>
          <cell r="P14">
            <v>156124.98</v>
          </cell>
          <cell r="Q14">
            <v>2081.67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tastros"/>
      <sheetName val="Remod Areas Verdes y Peato"/>
      <sheetName val="Adq de Bs"/>
      <sheetName val="ANEXO I"/>
      <sheetName val="ANEXO II"/>
      <sheetName val="ANEXO III"/>
      <sheetName val="Evolución en pesos"/>
      <sheetName val="Flujo Vencimientos en pesos"/>
      <sheetName val="Flujo Vencimientos"/>
      <sheetName val="Stock estimado"/>
      <sheetName val="Liquidación"/>
    </sheetNames>
    <sheetDataSet>
      <sheetData sheetId="6">
        <row r="76">
          <cell r="Q76">
            <v>56751.509999999995</v>
          </cell>
        </row>
        <row r="79">
          <cell r="K79">
            <v>1865.12</v>
          </cell>
          <cell r="L79">
            <v>10314.67</v>
          </cell>
          <cell r="N79">
            <v>1124298.9033385797</v>
          </cell>
        </row>
      </sheetData>
      <sheetData sheetId="8">
        <row r="13">
          <cell r="B13">
            <v>51140.13</v>
          </cell>
          <cell r="C13">
            <v>9381.779999999999</v>
          </cell>
          <cell r="D13">
            <v>51800.27</v>
          </cell>
          <cell r="E13">
            <v>8503.75</v>
          </cell>
          <cell r="F13">
            <v>52276.31</v>
          </cell>
          <cell r="G13">
            <v>9412.619999999999</v>
          </cell>
          <cell r="H13">
            <v>52505.81</v>
          </cell>
          <cell r="I13">
            <v>9062.64</v>
          </cell>
          <cell r="J13">
            <v>52736.31</v>
          </cell>
          <cell r="K13">
            <v>9316.24</v>
          </cell>
          <cell r="L13">
            <v>52967.82</v>
          </cell>
          <cell r="M13">
            <v>8968.26</v>
          </cell>
          <cell r="N13">
            <v>53200.35</v>
          </cell>
          <cell r="O13">
            <v>9217.49</v>
          </cell>
          <cell r="P13">
            <v>53433.9</v>
          </cell>
          <cell r="Q13">
            <v>9167.2</v>
          </cell>
          <cell r="R13">
            <v>53668.47</v>
          </cell>
          <cell r="S13">
            <v>8822.2</v>
          </cell>
          <cell r="T13">
            <v>53904.08</v>
          </cell>
          <cell r="U13">
            <v>9064.75</v>
          </cell>
          <cell r="V13">
            <v>54140.72</v>
          </cell>
          <cell r="W13">
            <v>8721.84</v>
          </cell>
          <cell r="X13">
            <v>54378.4</v>
          </cell>
          <cell r="Y13">
            <v>8959.78</v>
          </cell>
        </row>
        <row r="14">
          <cell r="B14">
            <v>54762.689999999995</v>
          </cell>
          <cell r="C14">
            <v>8930.08</v>
          </cell>
          <cell r="D14">
            <v>55149.7</v>
          </cell>
          <cell r="E14">
            <v>8038.27</v>
          </cell>
          <cell r="F14">
            <v>55539.439999999995</v>
          </cell>
          <cell r="G14">
            <v>8868.07</v>
          </cell>
          <cell r="H14">
            <v>55931.939999999995</v>
          </cell>
          <cell r="I14">
            <v>8550.67</v>
          </cell>
          <cell r="J14">
            <v>56327.21</v>
          </cell>
          <cell r="K14">
            <v>8802.45</v>
          </cell>
          <cell r="L14">
            <v>56725.27</v>
          </cell>
          <cell r="M14">
            <v>8485.470000000001</v>
          </cell>
          <cell r="N14">
            <v>57126.15</v>
          </cell>
          <cell r="O14">
            <v>8733.24</v>
          </cell>
          <cell r="P14">
            <v>57529.86</v>
          </cell>
          <cell r="Q14">
            <v>8697.24</v>
          </cell>
          <cell r="R14">
            <v>57936.42</v>
          </cell>
          <cell r="S14">
            <v>8380.91</v>
          </cell>
          <cell r="T14">
            <v>58345.86</v>
          </cell>
          <cell r="U14">
            <v>8622.4</v>
          </cell>
          <cell r="V14">
            <v>58758.189999999995</v>
          </cell>
          <cell r="W14">
            <v>8306.619999999999</v>
          </cell>
          <cell r="X14">
            <v>59173.43</v>
          </cell>
          <cell r="Y14">
            <v>8543.68</v>
          </cell>
        </row>
        <row r="15">
          <cell r="B15">
            <v>59387.82</v>
          </cell>
          <cell r="C15">
            <v>8473.76</v>
          </cell>
          <cell r="D15">
            <v>59602.979999999996</v>
          </cell>
          <cell r="E15">
            <v>7590.02</v>
          </cell>
          <cell r="F15">
            <v>59818.92</v>
          </cell>
          <cell r="G15">
            <v>8332.060000000001</v>
          </cell>
          <cell r="H15">
            <v>60035.65</v>
          </cell>
          <cell r="I15">
            <v>7993.8099999999995</v>
          </cell>
          <cell r="J15">
            <v>60253.159999999996</v>
          </cell>
          <cell r="K15">
            <v>8187.799999999999</v>
          </cell>
          <cell r="L15">
            <v>60471.45</v>
          </cell>
          <cell r="M15">
            <v>7852.98</v>
          </cell>
          <cell r="N15">
            <v>60690.54</v>
          </cell>
          <cell r="O15">
            <v>8041.0599999999995</v>
          </cell>
          <cell r="P15">
            <v>60910.42</v>
          </cell>
          <cell r="Q15">
            <v>7966.74</v>
          </cell>
          <cell r="R15">
            <v>61131.1</v>
          </cell>
          <cell r="S15">
            <v>7637.22</v>
          </cell>
          <cell r="T15">
            <v>61352.58</v>
          </cell>
          <cell r="U15">
            <v>7816.15</v>
          </cell>
          <cell r="V15">
            <v>61574.86</v>
          </cell>
          <cell r="W15">
            <v>7490.2300000000005</v>
          </cell>
          <cell r="X15">
            <v>61797.939999999995</v>
          </cell>
          <cell r="Y15">
            <v>7662.950000000001</v>
          </cell>
        </row>
        <row r="16">
          <cell r="B16">
            <v>62021.84</v>
          </cell>
          <cell r="C16">
            <v>7585.37</v>
          </cell>
          <cell r="D16">
            <v>62246.54</v>
          </cell>
          <cell r="E16">
            <v>7022.77</v>
          </cell>
          <cell r="F16">
            <v>62472.06</v>
          </cell>
          <cell r="G16">
            <v>7428.21</v>
          </cell>
          <cell r="H16">
            <v>62698.4</v>
          </cell>
          <cell r="I16">
            <v>7111.5599999999995</v>
          </cell>
          <cell r="J16">
            <v>62925.56</v>
          </cell>
          <cell r="K16">
            <v>7268.3</v>
          </cell>
          <cell r="L16">
            <v>63153.53</v>
          </cell>
          <cell r="M16">
            <v>6955.5599999999995</v>
          </cell>
          <cell r="N16">
            <v>63382.34</v>
          </cell>
          <cell r="O16">
            <v>7105.75</v>
          </cell>
          <cell r="P16">
            <v>63611.97</v>
          </cell>
          <cell r="Q16">
            <v>7023.4400000000005</v>
          </cell>
          <cell r="R16">
            <v>63842.439999999995</v>
          </cell>
          <cell r="S16">
            <v>6716.58</v>
          </cell>
          <cell r="T16">
            <v>64073.74</v>
          </cell>
          <cell r="U16">
            <v>6856.76</v>
          </cell>
          <cell r="V16">
            <v>64305.880000000005</v>
          </cell>
          <cell r="W16">
            <v>6553.92</v>
          </cell>
          <cell r="X16">
            <v>64538.86</v>
          </cell>
          <cell r="Y16">
            <v>6687.290000000001</v>
          </cell>
        </row>
        <row r="17">
          <cell r="B17">
            <v>64772.689999999995</v>
          </cell>
          <cell r="C17">
            <v>6601.5</v>
          </cell>
          <cell r="D17">
            <v>65007.36000000001</v>
          </cell>
          <cell r="E17">
            <v>5884.5</v>
          </cell>
          <cell r="F17">
            <v>65242.88</v>
          </cell>
          <cell r="G17">
            <v>6427.78</v>
          </cell>
          <cell r="H17">
            <v>65479.24999999999</v>
          </cell>
          <cell r="I17">
            <v>6135.31</v>
          </cell>
          <cell r="J17">
            <v>65716.48</v>
          </cell>
          <cell r="K17">
            <v>6251.2</v>
          </cell>
          <cell r="L17">
            <v>65954.58</v>
          </cell>
          <cell r="M17">
            <v>5963.02</v>
          </cell>
          <cell r="N17">
            <v>66193.53</v>
          </cell>
          <cell r="O17">
            <v>6071.65</v>
          </cell>
          <cell r="P17">
            <v>66433.35</v>
          </cell>
          <cell r="Q17">
            <v>5980.8</v>
          </cell>
          <cell r="R17">
            <v>66674.04000000001</v>
          </cell>
          <cell r="S17">
            <v>5699.24</v>
          </cell>
          <cell r="T17">
            <v>66915.6</v>
          </cell>
          <cell r="U17">
            <v>5796.9</v>
          </cell>
          <cell r="V17">
            <v>67158.03</v>
          </cell>
          <cell r="W17">
            <v>5519.83</v>
          </cell>
          <cell r="X17">
            <v>67401.34</v>
          </cell>
          <cell r="Y17">
            <v>5610.01</v>
          </cell>
        </row>
        <row r="18">
          <cell r="B18">
            <v>67645.54000000001</v>
          </cell>
          <cell r="C18">
            <v>5515.44</v>
          </cell>
          <cell r="D18">
            <v>67890.62</v>
          </cell>
          <cell r="E18">
            <v>4895.59</v>
          </cell>
          <cell r="F18">
            <v>68136.59</v>
          </cell>
          <cell r="G18">
            <v>5324.01</v>
          </cell>
          <cell r="H18">
            <v>68383.45</v>
          </cell>
          <cell r="I18">
            <v>5058.48</v>
          </cell>
          <cell r="J18">
            <v>68631.2</v>
          </cell>
          <cell r="K18">
            <v>5129.51</v>
          </cell>
          <cell r="L18">
            <v>68879.85</v>
          </cell>
          <cell r="M18">
            <v>4868.76</v>
          </cell>
          <cell r="N18">
            <v>69129.40000000001</v>
          </cell>
          <cell r="O18">
            <v>4931.84</v>
          </cell>
          <cell r="P18">
            <v>69379.86</v>
          </cell>
          <cell r="Q18">
            <v>4831.860000000001</v>
          </cell>
          <cell r="R18">
            <v>69631.22</v>
          </cell>
          <cell r="S18">
            <v>4578.46</v>
          </cell>
          <cell r="T18">
            <v>69883.5</v>
          </cell>
          <cell r="U18">
            <v>4629.53</v>
          </cell>
          <cell r="V18">
            <v>70136.68000000001</v>
          </cell>
          <cell r="W18">
            <v>4381.12</v>
          </cell>
          <cell r="X18">
            <v>70390.79000000001</v>
          </cell>
          <cell r="Y18">
            <v>4424.01</v>
          </cell>
        </row>
        <row r="19">
          <cell r="B19">
            <v>70645.81</v>
          </cell>
          <cell r="C19">
            <v>4320.05</v>
          </cell>
          <cell r="D19">
            <v>70901.76</v>
          </cell>
          <cell r="E19">
            <v>3807.3</v>
          </cell>
          <cell r="F19">
            <v>71158.64</v>
          </cell>
          <cell r="G19">
            <v>4109.67</v>
          </cell>
          <cell r="H19">
            <v>71416.45</v>
          </cell>
          <cell r="I19">
            <v>3874.13</v>
          </cell>
          <cell r="J19">
            <v>71675.19</v>
          </cell>
          <cell r="K19">
            <v>3896.02</v>
          </cell>
          <cell r="L19">
            <v>71934.87</v>
          </cell>
          <cell r="M19">
            <v>3665.69</v>
          </cell>
          <cell r="N19">
            <v>72195.49</v>
          </cell>
          <cell r="O19">
            <v>3678.97</v>
          </cell>
          <cell r="P19">
            <v>72457.05</v>
          </cell>
          <cell r="Q19">
            <v>3569.23</v>
          </cell>
          <cell r="R19">
            <v>72719.57</v>
          </cell>
          <cell r="S19">
            <v>3347.1099999999997</v>
          </cell>
          <cell r="T19">
            <v>72983.03</v>
          </cell>
          <cell r="U19">
            <v>3347.21</v>
          </cell>
          <cell r="V19">
            <v>73247.45</v>
          </cell>
          <cell r="W19">
            <v>3130.6</v>
          </cell>
          <cell r="X19">
            <v>73512.75</v>
          </cell>
          <cell r="Y19">
            <v>3121.78</v>
          </cell>
        </row>
        <row r="20">
          <cell r="B20">
            <v>73779.16</v>
          </cell>
          <cell r="C20">
            <v>3007.77</v>
          </cell>
          <cell r="D20">
            <v>74046.39</v>
          </cell>
          <cell r="E20">
            <v>2706.25</v>
          </cell>
          <cell r="F20">
            <v>74314.73</v>
          </cell>
          <cell r="G20">
            <v>2777.15</v>
          </cell>
          <cell r="H20">
            <v>74583.9</v>
          </cell>
          <cell r="I20">
            <v>2574.69</v>
          </cell>
          <cell r="J20">
            <v>74854.19</v>
          </cell>
          <cell r="K20">
            <v>2543.02</v>
          </cell>
          <cell r="L20">
            <v>75125.31</v>
          </cell>
          <cell r="M20">
            <v>2346.41</v>
          </cell>
          <cell r="N20">
            <v>75397.57</v>
          </cell>
          <cell r="O20">
            <v>2305.27</v>
          </cell>
          <cell r="P20">
            <v>75670.66</v>
          </cell>
          <cell r="Q20">
            <v>2185.09</v>
          </cell>
          <cell r="R20">
            <v>75944.89</v>
          </cell>
          <cell r="S20">
            <v>1997.45</v>
          </cell>
          <cell r="T20">
            <v>76219.96</v>
          </cell>
          <cell r="U20">
            <v>1942.03</v>
          </cell>
          <cell r="V20">
            <v>76496.18</v>
          </cell>
          <cell r="W20">
            <v>1760.4699999999998</v>
          </cell>
          <cell r="X20">
            <v>76773.25</v>
          </cell>
          <cell r="Y20">
            <v>1695.32</v>
          </cell>
        </row>
        <row r="21">
          <cell r="B21">
            <v>77051.48</v>
          </cell>
          <cell r="C21">
            <v>1570.59</v>
          </cell>
          <cell r="D21">
            <v>77330.56</v>
          </cell>
          <cell r="E21">
            <v>1305.1</v>
          </cell>
          <cell r="F21">
            <v>77610.8</v>
          </cell>
          <cell r="G21">
            <v>1318.33</v>
          </cell>
          <cell r="H21">
            <v>77891.91</v>
          </cell>
          <cell r="I21">
            <v>1152.37</v>
          </cell>
          <cell r="J21">
            <v>78174.19</v>
          </cell>
          <cell r="K21">
            <v>1062.34</v>
          </cell>
          <cell r="L21">
            <v>78457.34</v>
          </cell>
          <cell r="M21">
            <v>902.8</v>
          </cell>
          <cell r="N21">
            <v>78741.67</v>
          </cell>
          <cell r="O21">
            <v>802.48</v>
          </cell>
          <cell r="P21">
            <v>79026.87000000001</v>
          </cell>
          <cell r="Q21">
            <v>671.16</v>
          </cell>
          <cell r="R21">
            <v>79313.26</v>
          </cell>
          <cell r="S21">
            <v>521.49</v>
          </cell>
          <cell r="T21">
            <v>79600.54000000001</v>
          </cell>
          <cell r="U21">
            <v>405.62</v>
          </cell>
          <cell r="V21">
            <v>79889.01</v>
          </cell>
          <cell r="W21">
            <v>262.64</v>
          </cell>
          <cell r="X21">
            <v>80178.37000000001</v>
          </cell>
          <cell r="Y21">
            <v>136.19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 Vencimientos"/>
      <sheetName val="Flujos Vencimientos en miles"/>
      <sheetName val="Programación Financiera"/>
      <sheetName val="Pagos 2009"/>
      <sheetName val="Stock estimado"/>
    </sheetNames>
    <sheetDataSet>
      <sheetData sheetId="2">
        <row r="56">
          <cell r="J56">
            <v>20413.29</v>
          </cell>
          <cell r="K56">
            <v>92707.6</v>
          </cell>
          <cell r="M56">
            <v>1948621.459999999</v>
          </cell>
        </row>
      </sheetData>
      <sheetData sheetId="3">
        <row r="13">
          <cell r="B13">
            <v>94571.02</v>
          </cell>
          <cell r="C13">
            <v>18549.87</v>
          </cell>
          <cell r="D13">
            <v>95516.74</v>
          </cell>
          <cell r="E13">
            <v>17604.16</v>
          </cell>
          <cell r="F13">
            <v>96471.9</v>
          </cell>
          <cell r="G13">
            <v>16648.99</v>
          </cell>
          <cell r="H13">
            <v>97436.62</v>
          </cell>
          <cell r="I13">
            <v>15684.27</v>
          </cell>
          <cell r="J13">
            <v>98410.99</v>
          </cell>
          <cell r="K13">
            <v>14709.91</v>
          </cell>
          <cell r="L13">
            <v>99395.1</v>
          </cell>
          <cell r="M13">
            <v>13725.8</v>
          </cell>
          <cell r="N13">
            <v>100389.05</v>
          </cell>
          <cell r="O13">
            <v>12731.84</v>
          </cell>
          <cell r="P13">
            <v>101392.94</v>
          </cell>
          <cell r="Q13">
            <v>11727.95</v>
          </cell>
          <cell r="R13">
            <v>102406.87</v>
          </cell>
          <cell r="S13">
            <v>10714.02</v>
          </cell>
          <cell r="T13">
            <v>103430.94</v>
          </cell>
          <cell r="U13">
            <v>9689.96</v>
          </cell>
          <cell r="V13">
            <v>104465.25</v>
          </cell>
          <cell r="W13">
            <v>8655.65</v>
          </cell>
          <cell r="X13">
            <v>105509.9</v>
          </cell>
          <cell r="Y13">
            <v>7610.99</v>
          </cell>
        </row>
        <row r="14">
          <cell r="B14">
            <v>106565</v>
          </cell>
          <cell r="C14">
            <v>6555.89</v>
          </cell>
          <cell r="D14">
            <v>107630.65</v>
          </cell>
          <cell r="E14">
            <v>5490.24</v>
          </cell>
          <cell r="F14">
            <v>108706.95</v>
          </cell>
          <cell r="G14">
            <v>4413.94</v>
          </cell>
          <cell r="H14">
            <v>109794.02</v>
          </cell>
          <cell r="I14">
            <v>3326.87</v>
          </cell>
          <cell r="J14">
            <v>110891.96</v>
          </cell>
          <cell r="K14">
            <v>2228.93</v>
          </cell>
          <cell r="L14">
            <v>112000.88</v>
          </cell>
          <cell r="M14">
            <v>1120.01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10"/>
      <sheetName val="Stock estimado"/>
      <sheetName val="SAN-CARLOS-Banco-Nación-Argenti"/>
    </sheetNames>
    <sheetDataSet>
      <sheetData sheetId="3">
        <row r="13">
          <cell r="B13">
            <v>68076.78</v>
          </cell>
          <cell r="C13">
            <v>9264.45</v>
          </cell>
          <cell r="D13">
            <v>68748.22</v>
          </cell>
          <cell r="E13">
            <v>8593.01</v>
          </cell>
          <cell r="F13">
            <v>69426.28</v>
          </cell>
          <cell r="G13">
            <v>7914.94</v>
          </cell>
          <cell r="H13">
            <v>70111.03</v>
          </cell>
          <cell r="I13">
            <v>7230.19</v>
          </cell>
          <cell r="J13">
            <v>70802.54</v>
          </cell>
          <cell r="K13">
            <v>6538.68</v>
          </cell>
          <cell r="L13">
            <v>71500.87</v>
          </cell>
          <cell r="M13">
            <v>5840.36</v>
          </cell>
          <cell r="N13">
            <v>72206.08</v>
          </cell>
          <cell r="O13">
            <v>5135.14</v>
          </cell>
          <cell r="P13">
            <v>72918.25</v>
          </cell>
          <cell r="Q13">
            <v>4422.97</v>
          </cell>
          <cell r="R13">
            <v>73637.44</v>
          </cell>
          <cell r="S13">
            <v>3703.78</v>
          </cell>
          <cell r="T13">
            <v>74363.73</v>
          </cell>
          <cell r="U13">
            <v>2977.49</v>
          </cell>
          <cell r="V13">
            <v>75097.18</v>
          </cell>
          <cell r="W13">
            <v>2244.04</v>
          </cell>
          <cell r="X13">
            <v>75837.87</v>
          </cell>
          <cell r="Y13">
            <v>1503.36</v>
          </cell>
        </row>
        <row r="14">
          <cell r="B14">
            <v>76585.85</v>
          </cell>
          <cell r="C14">
            <v>755.38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agos 2011"/>
      <sheetName val="Pagos 2012"/>
      <sheetName val="Stock Estimado"/>
      <sheetName val="Programación Financiera"/>
    </sheetNames>
    <sheetDataSet>
      <sheetData sheetId="3">
        <row r="13">
          <cell r="F13">
            <v>183511.24</v>
          </cell>
          <cell r="G13">
            <v>195896.76</v>
          </cell>
          <cell r="R13">
            <v>198935.35</v>
          </cell>
          <cell r="S13">
            <v>180472.64</v>
          </cell>
        </row>
        <row r="14">
          <cell r="F14">
            <v>215655.87</v>
          </cell>
          <cell r="G14">
            <v>163752.13</v>
          </cell>
          <cell r="R14">
            <v>233781.75</v>
          </cell>
          <cell r="S14">
            <v>145626.25</v>
          </cell>
        </row>
        <row r="15">
          <cell r="F15">
            <v>253431.1</v>
          </cell>
          <cell r="G15">
            <v>125976.9</v>
          </cell>
          <cell r="R15">
            <v>274731.99</v>
          </cell>
          <cell r="S15">
            <v>104676.01</v>
          </cell>
        </row>
        <row r="16">
          <cell r="F16">
            <v>297823.21</v>
          </cell>
          <cell r="G16">
            <v>81584.79</v>
          </cell>
          <cell r="R16">
            <v>322855.25</v>
          </cell>
          <cell r="S16">
            <v>56552.75</v>
          </cell>
        </row>
        <row r="17">
          <cell r="F17">
            <v>349991.24</v>
          </cell>
          <cell r="G17">
            <v>29416.76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agos 2009"/>
      <sheetName val="Stock estimado"/>
      <sheetName val="Programación Financiera"/>
    </sheetNames>
    <sheetDataSet>
      <sheetData sheetId="2">
        <row r="51">
          <cell r="J51">
            <v>13349.02</v>
          </cell>
          <cell r="K51">
            <v>60624.98</v>
          </cell>
          <cell r="M51">
            <v>1274276.6199999992</v>
          </cell>
        </row>
      </sheetData>
      <sheetData sheetId="3">
        <row r="13">
          <cell r="B13">
            <v>61843.54</v>
          </cell>
          <cell r="C13">
            <v>12130.45</v>
          </cell>
          <cell r="D13">
            <v>62461.97</v>
          </cell>
          <cell r="E13">
            <v>11512.02</v>
          </cell>
          <cell r="F13">
            <v>63086.59</v>
          </cell>
          <cell r="G13">
            <v>10887.4</v>
          </cell>
          <cell r="H13">
            <v>63717.46</v>
          </cell>
          <cell r="I13">
            <v>10256.53</v>
          </cell>
          <cell r="J13">
            <v>64354.63</v>
          </cell>
          <cell r="K13">
            <v>9619.36</v>
          </cell>
          <cell r="L13">
            <v>64998.18</v>
          </cell>
          <cell r="M13">
            <v>8975.81</v>
          </cell>
          <cell r="N13">
            <v>65648.16</v>
          </cell>
          <cell r="O13">
            <v>8325.83</v>
          </cell>
          <cell r="P13">
            <v>66304.64</v>
          </cell>
          <cell r="Q13">
            <v>7669.35</v>
          </cell>
          <cell r="R13">
            <v>66967.69</v>
          </cell>
          <cell r="S13">
            <v>7006.3</v>
          </cell>
          <cell r="T13">
            <v>67637.37</v>
          </cell>
          <cell r="U13">
            <v>6336.63</v>
          </cell>
          <cell r="V13">
            <v>68313.74</v>
          </cell>
          <cell r="W13">
            <v>5660.25</v>
          </cell>
          <cell r="X13">
            <v>68996.88</v>
          </cell>
          <cell r="Y13">
            <v>4977.11</v>
          </cell>
        </row>
        <row r="14">
          <cell r="B14">
            <v>69686.85</v>
          </cell>
          <cell r="C14">
            <v>4287.15</v>
          </cell>
          <cell r="D14">
            <v>70383.72</v>
          </cell>
          <cell r="E14">
            <v>3590.28</v>
          </cell>
          <cell r="F14">
            <v>71087.55</v>
          </cell>
          <cell r="G14">
            <v>2886.44</v>
          </cell>
          <cell r="H14">
            <v>71798.43</v>
          </cell>
          <cell r="I14">
            <v>2175.56</v>
          </cell>
          <cell r="J14">
            <v>72516.41</v>
          </cell>
          <cell r="K14">
            <v>1457.58</v>
          </cell>
          <cell r="L14">
            <v>73241.58</v>
          </cell>
          <cell r="M14">
            <v>732.42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Bienes Comprados"/>
      <sheetName val="Flujos Vencimientos"/>
      <sheetName val="Programación financiera"/>
      <sheetName val="Stock estimado"/>
    </sheetNames>
    <sheetDataSet>
      <sheetData sheetId="2">
        <row r="53">
          <cell r="J53">
            <v>10927.46</v>
          </cell>
          <cell r="K53">
            <v>49627.4</v>
          </cell>
          <cell r="M53">
            <v>1043118.5399999992</v>
          </cell>
        </row>
      </sheetData>
      <sheetData sheetId="4">
        <row r="13">
          <cell r="B13">
            <v>50624.91</v>
          </cell>
          <cell r="C13">
            <v>9929.95</v>
          </cell>
          <cell r="D13">
            <v>51131.16</v>
          </cell>
          <cell r="E13">
            <v>9423.7</v>
          </cell>
          <cell r="F13">
            <v>51642.47</v>
          </cell>
          <cell r="G13">
            <v>8912.39</v>
          </cell>
          <cell r="H13">
            <v>52158.9</v>
          </cell>
          <cell r="I13">
            <v>8395.96</v>
          </cell>
          <cell r="J13">
            <v>52680.49</v>
          </cell>
          <cell r="K13">
            <v>7874.37</v>
          </cell>
          <cell r="L13">
            <v>53207.29</v>
          </cell>
          <cell r="M13">
            <v>7347.57</v>
          </cell>
          <cell r="N13">
            <v>53739.36</v>
          </cell>
          <cell r="O13">
            <v>6815.5</v>
          </cell>
          <cell r="P13">
            <v>54276.76</v>
          </cell>
          <cell r="Q13">
            <v>6278.1</v>
          </cell>
          <cell r="R13">
            <v>54819.52</v>
          </cell>
          <cell r="S13">
            <v>5735.34</v>
          </cell>
          <cell r="T13">
            <v>55367.72</v>
          </cell>
          <cell r="U13">
            <v>5187.14</v>
          </cell>
          <cell r="V13">
            <v>55921.4</v>
          </cell>
          <cell r="W13">
            <v>4633.46</v>
          </cell>
          <cell r="X13">
            <v>56480.61</v>
          </cell>
          <cell r="Y13">
            <v>4074.25</v>
          </cell>
        </row>
        <row r="14">
          <cell r="B14">
            <v>57045.42</v>
          </cell>
          <cell r="C14">
            <v>3509.44</v>
          </cell>
          <cell r="D14">
            <v>57615.87</v>
          </cell>
          <cell r="E14">
            <v>2938.99</v>
          </cell>
          <cell r="F14">
            <v>58192.03</v>
          </cell>
          <cell r="G14">
            <v>2362.83</v>
          </cell>
          <cell r="H14">
            <v>58773.95</v>
          </cell>
          <cell r="I14">
            <v>1780.91</v>
          </cell>
          <cell r="J14">
            <v>59361.69</v>
          </cell>
          <cell r="K14">
            <v>1193.17</v>
          </cell>
          <cell r="L14">
            <v>59955.31</v>
          </cell>
          <cell r="M14">
            <v>599.55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MALARGUE-Compra-Bienes-Capital"/>
    </sheetNames>
    <sheetDataSet>
      <sheetData sheetId="2">
        <row r="52">
          <cell r="J52">
            <v>21126.75</v>
          </cell>
          <cell r="K52">
            <v>95947.8</v>
          </cell>
          <cell r="M52">
            <v>2016727.1099999987</v>
          </cell>
        </row>
      </sheetData>
      <sheetData sheetId="3">
        <row r="13">
          <cell r="B13">
            <v>97876.35</v>
          </cell>
          <cell r="C13">
            <v>19198.2</v>
          </cell>
          <cell r="D13">
            <v>98855.11</v>
          </cell>
          <cell r="E13">
            <v>18219.43</v>
          </cell>
          <cell r="F13">
            <v>99843.66</v>
          </cell>
          <cell r="G13">
            <v>17230.88</v>
          </cell>
          <cell r="H13">
            <v>100842.1</v>
          </cell>
          <cell r="I13">
            <v>16232.45</v>
          </cell>
          <cell r="J13">
            <v>101850.52</v>
          </cell>
          <cell r="K13">
            <v>15224.03</v>
          </cell>
          <cell r="L13">
            <v>102869.02</v>
          </cell>
          <cell r="M13">
            <v>14205.52</v>
          </cell>
          <cell r="N13">
            <v>103897.71</v>
          </cell>
          <cell r="O13">
            <v>13176.83</v>
          </cell>
          <cell r="P13">
            <v>104936.69</v>
          </cell>
          <cell r="Q13">
            <v>12137.85</v>
          </cell>
          <cell r="R13">
            <v>105986.06</v>
          </cell>
          <cell r="S13">
            <v>11088.49</v>
          </cell>
          <cell r="T13">
            <v>107045.92</v>
          </cell>
          <cell r="U13">
            <v>10028.63</v>
          </cell>
          <cell r="V13">
            <v>108116.38</v>
          </cell>
          <cell r="W13">
            <v>8958.17</v>
          </cell>
          <cell r="X13">
            <v>109197.54</v>
          </cell>
          <cell r="Y13">
            <v>7877</v>
          </cell>
        </row>
        <row r="14">
          <cell r="B14">
            <v>110289.52</v>
          </cell>
          <cell r="C14">
            <v>6785.03</v>
          </cell>
          <cell r="D14">
            <v>111392.41</v>
          </cell>
          <cell r="E14">
            <v>5682.13</v>
          </cell>
          <cell r="F14">
            <v>112506.34</v>
          </cell>
          <cell r="G14">
            <v>4568.21</v>
          </cell>
          <cell r="H14">
            <v>113631.4</v>
          </cell>
          <cell r="I14">
            <v>3443.15</v>
          </cell>
          <cell r="J14">
            <v>114767.72</v>
          </cell>
          <cell r="K14">
            <v>2306.83</v>
          </cell>
          <cell r="L14">
            <v>115915.39</v>
          </cell>
          <cell r="M14">
            <v>1159.15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v. Urb. 1"/>
      <sheetName val="Pav.Urb. 2"/>
      <sheetName val="Catastros"/>
      <sheetName val="RESUMEN"/>
      <sheetName val="Evolución en U$S"/>
      <sheetName val="Evolución en pesos"/>
      <sheetName val="Flujo Vencimientos"/>
      <sheetName val="Cuota 31-12-2006"/>
      <sheetName val="Liquidación"/>
      <sheetName val="Stock Estimado"/>
      <sheetName val="MAIPÚ-Refinanciación-BID-BIRF"/>
    </sheetNames>
    <sheetDataSet>
      <sheetData sheetId="5">
        <row r="76">
          <cell r="Q76">
            <v>35485.82</v>
          </cell>
        </row>
        <row r="79">
          <cell r="K79">
            <v>1166.23</v>
          </cell>
          <cell r="L79">
            <v>6449.6</v>
          </cell>
          <cell r="N79">
            <v>703006.430763246</v>
          </cell>
        </row>
      </sheetData>
      <sheetData sheetId="6">
        <row r="13">
          <cell r="B13">
            <v>31977.120000000003</v>
          </cell>
          <cell r="C13">
            <v>5866.26</v>
          </cell>
          <cell r="D13">
            <v>32389.89</v>
          </cell>
          <cell r="E13">
            <v>5317.24</v>
          </cell>
          <cell r="F13">
            <v>32687.550000000003</v>
          </cell>
          <cell r="G13">
            <v>5885.54</v>
          </cell>
          <cell r="H13">
            <v>32831.05</v>
          </cell>
          <cell r="I13">
            <v>5666.740000000001</v>
          </cell>
          <cell r="J13">
            <v>32975.18</v>
          </cell>
          <cell r="K13">
            <v>5825.3099999999995</v>
          </cell>
          <cell r="L13">
            <v>33119.94</v>
          </cell>
          <cell r="M13">
            <v>5607.68</v>
          </cell>
          <cell r="N13">
            <v>33265.340000000004</v>
          </cell>
          <cell r="O13">
            <v>5763.56</v>
          </cell>
          <cell r="P13">
            <v>33411.37</v>
          </cell>
          <cell r="Q13">
            <v>5732.09</v>
          </cell>
          <cell r="R13">
            <v>33558.05</v>
          </cell>
          <cell r="S13">
            <v>5516.4</v>
          </cell>
          <cell r="T13">
            <v>33705.37</v>
          </cell>
          <cell r="U13">
            <v>5668.03</v>
          </cell>
          <cell r="V13">
            <v>33853.33</v>
          </cell>
          <cell r="W13">
            <v>5453.61</v>
          </cell>
          <cell r="X13">
            <v>34001.95</v>
          </cell>
          <cell r="Y13">
            <v>5602.39</v>
          </cell>
        </row>
        <row r="14">
          <cell r="B14">
            <v>34242.24</v>
          </cell>
          <cell r="C14">
            <v>5583.85</v>
          </cell>
          <cell r="D14">
            <v>34484.23</v>
          </cell>
          <cell r="E14">
            <v>5026.19</v>
          </cell>
          <cell r="F14">
            <v>34727.93</v>
          </cell>
          <cell r="G14">
            <v>5545.08</v>
          </cell>
          <cell r="H14">
            <v>34973.35</v>
          </cell>
          <cell r="I14">
            <v>5346.59</v>
          </cell>
          <cell r="J14">
            <v>35220.51</v>
          </cell>
          <cell r="K14">
            <v>5504.0199999999995</v>
          </cell>
          <cell r="L14">
            <v>35469.41</v>
          </cell>
          <cell r="M14">
            <v>5305.84</v>
          </cell>
          <cell r="N14">
            <v>35720.08</v>
          </cell>
          <cell r="O14">
            <v>5460.75</v>
          </cell>
          <cell r="P14">
            <v>35972.51</v>
          </cell>
          <cell r="Q14">
            <v>5438.2699999999995</v>
          </cell>
          <cell r="R14">
            <v>36226.73</v>
          </cell>
          <cell r="S14">
            <v>5240.450000000001</v>
          </cell>
          <cell r="T14">
            <v>36482.74</v>
          </cell>
          <cell r="U14">
            <v>5391.47</v>
          </cell>
          <cell r="V14">
            <v>36740.57</v>
          </cell>
          <cell r="W14">
            <v>5194.009999999999</v>
          </cell>
          <cell r="X14">
            <v>37000.21</v>
          </cell>
          <cell r="Y14">
            <v>5342.240000000001</v>
          </cell>
        </row>
        <row r="15">
          <cell r="B15">
            <v>37134.26</v>
          </cell>
          <cell r="C15">
            <v>5298.5</v>
          </cell>
          <cell r="D15">
            <v>37268.8</v>
          </cell>
          <cell r="E15">
            <v>4745.91</v>
          </cell>
          <cell r="F15">
            <v>37403.83</v>
          </cell>
          <cell r="G15">
            <v>5209.89</v>
          </cell>
          <cell r="H15">
            <v>37539.340000000004</v>
          </cell>
          <cell r="I15">
            <v>4998.4</v>
          </cell>
          <cell r="J15">
            <v>37675.340000000004</v>
          </cell>
          <cell r="K15">
            <v>5119.73</v>
          </cell>
          <cell r="L15">
            <v>37811.840000000004</v>
          </cell>
          <cell r="M15">
            <v>4910.33</v>
          </cell>
          <cell r="N15">
            <v>37948.83</v>
          </cell>
          <cell r="O15">
            <v>5027.969999999999</v>
          </cell>
          <cell r="P15">
            <v>38086.32</v>
          </cell>
          <cell r="Q15">
            <v>4981.469999999999</v>
          </cell>
          <cell r="R15">
            <v>38224.31</v>
          </cell>
          <cell r="S15">
            <v>4775.43</v>
          </cell>
          <cell r="T15">
            <v>38362.8</v>
          </cell>
          <cell r="U15">
            <v>4887.31</v>
          </cell>
          <cell r="V15">
            <v>38501.79</v>
          </cell>
          <cell r="W15">
            <v>4683.48</v>
          </cell>
          <cell r="X15">
            <v>38641.28</v>
          </cell>
          <cell r="Y15">
            <v>4791.52</v>
          </cell>
        </row>
        <row r="16">
          <cell r="B16">
            <v>38781.27</v>
          </cell>
          <cell r="C16">
            <v>4742.969999999999</v>
          </cell>
          <cell r="D16">
            <v>38921.78</v>
          </cell>
          <cell r="E16">
            <v>4391.25</v>
          </cell>
          <cell r="F16">
            <v>39062.79</v>
          </cell>
          <cell r="G16">
            <v>4644.7</v>
          </cell>
          <cell r="H16">
            <v>39204.32</v>
          </cell>
          <cell r="I16">
            <v>4446.71</v>
          </cell>
          <cell r="J16">
            <v>39346.35</v>
          </cell>
          <cell r="K16">
            <v>4544.76</v>
          </cell>
          <cell r="L16">
            <v>39488.909999999996</v>
          </cell>
          <cell r="M16">
            <v>4349.19</v>
          </cell>
          <cell r="N16">
            <v>39631.97</v>
          </cell>
          <cell r="O16">
            <v>4443.110000000001</v>
          </cell>
          <cell r="P16">
            <v>39775.56</v>
          </cell>
          <cell r="Q16">
            <v>4391.68</v>
          </cell>
          <cell r="R16">
            <v>39919.67</v>
          </cell>
          <cell r="S16">
            <v>4199.75</v>
          </cell>
          <cell r="T16">
            <v>40064.299999999996</v>
          </cell>
          <cell r="U16">
            <v>4287.46</v>
          </cell>
          <cell r="V16">
            <v>40209.45</v>
          </cell>
          <cell r="W16">
            <v>4098.06</v>
          </cell>
          <cell r="X16">
            <v>40355.13</v>
          </cell>
          <cell r="Y16">
            <v>4181.43</v>
          </cell>
        </row>
        <row r="17">
          <cell r="B17">
            <v>40501.34</v>
          </cell>
          <cell r="C17">
            <v>4127.81</v>
          </cell>
          <cell r="D17">
            <v>40648.07</v>
          </cell>
          <cell r="E17">
            <v>3679.48</v>
          </cell>
          <cell r="F17">
            <v>40795.34</v>
          </cell>
          <cell r="G17">
            <v>4019.19</v>
          </cell>
          <cell r="H17">
            <v>40943.14</v>
          </cell>
          <cell r="I17">
            <v>3836.32</v>
          </cell>
          <cell r="J17">
            <v>41091.479999999996</v>
          </cell>
          <cell r="K17">
            <v>3908.7700000000004</v>
          </cell>
          <cell r="L17">
            <v>41240.35</v>
          </cell>
          <cell r="M17">
            <v>3728.55</v>
          </cell>
          <cell r="N17">
            <v>41389.77</v>
          </cell>
          <cell r="O17">
            <v>3796.54</v>
          </cell>
          <cell r="P17">
            <v>41539.72</v>
          </cell>
          <cell r="Q17">
            <v>3739.71</v>
          </cell>
          <cell r="R17">
            <v>41690.22</v>
          </cell>
          <cell r="S17">
            <v>3563.67</v>
          </cell>
          <cell r="T17">
            <v>41841.26</v>
          </cell>
          <cell r="U17">
            <v>3624.72</v>
          </cell>
          <cell r="V17">
            <v>41992.85</v>
          </cell>
          <cell r="W17">
            <v>3451.44</v>
          </cell>
          <cell r="X17">
            <v>42144.99</v>
          </cell>
          <cell r="Y17">
            <v>3507.86</v>
          </cell>
        </row>
        <row r="18">
          <cell r="B18">
            <v>42297.689999999995</v>
          </cell>
          <cell r="C18">
            <v>3448.69</v>
          </cell>
          <cell r="D18">
            <v>42450.93</v>
          </cell>
          <cell r="E18">
            <v>3061.13</v>
          </cell>
          <cell r="F18">
            <v>42604.729999999996</v>
          </cell>
          <cell r="G18">
            <v>3328.99</v>
          </cell>
          <cell r="H18">
            <v>42759.09</v>
          </cell>
          <cell r="I18">
            <v>3162.98</v>
          </cell>
          <cell r="J18">
            <v>42914</v>
          </cell>
          <cell r="K18">
            <v>3207.37</v>
          </cell>
          <cell r="L18">
            <v>43069.479999999996</v>
          </cell>
          <cell r="M18">
            <v>3044.37</v>
          </cell>
          <cell r="N18">
            <v>43225.52</v>
          </cell>
          <cell r="O18">
            <v>3083.81</v>
          </cell>
          <cell r="P18">
            <v>43382.13</v>
          </cell>
          <cell r="Q18">
            <v>3021.26</v>
          </cell>
          <cell r="R18">
            <v>43539.299999999996</v>
          </cell>
          <cell r="S18">
            <v>2862.84</v>
          </cell>
          <cell r="T18">
            <v>43697.04</v>
          </cell>
          <cell r="U18">
            <v>2894.75</v>
          </cell>
          <cell r="V18">
            <v>43855.36</v>
          </cell>
          <cell r="W18">
            <v>2739.46</v>
          </cell>
          <cell r="X18">
            <v>44014.25</v>
          </cell>
          <cell r="Y18">
            <v>2766.25</v>
          </cell>
        </row>
        <row r="19">
          <cell r="B19">
            <v>44173.71</v>
          </cell>
          <cell r="C19">
            <v>2701.27</v>
          </cell>
          <cell r="D19">
            <v>44333.75</v>
          </cell>
          <cell r="E19">
            <v>2380.63</v>
          </cell>
          <cell r="F19">
            <v>44494.369999999995</v>
          </cell>
          <cell r="G19">
            <v>2569.7299999999996</v>
          </cell>
          <cell r="H19">
            <v>44655.58</v>
          </cell>
          <cell r="I19">
            <v>2422.42</v>
          </cell>
          <cell r="J19">
            <v>44817.36</v>
          </cell>
          <cell r="K19">
            <v>2436.13</v>
          </cell>
          <cell r="L19">
            <v>44979.74</v>
          </cell>
          <cell r="M19">
            <v>2292.09</v>
          </cell>
          <cell r="N19">
            <v>45142.7</v>
          </cell>
          <cell r="O19">
            <v>2300.39</v>
          </cell>
          <cell r="P19">
            <v>45306.25</v>
          </cell>
          <cell r="Q19">
            <v>2231.7999999999997</v>
          </cell>
          <cell r="R19">
            <v>45470.39</v>
          </cell>
          <cell r="S19">
            <v>2092.9</v>
          </cell>
          <cell r="T19">
            <v>45635.13</v>
          </cell>
          <cell r="U19">
            <v>2092.98</v>
          </cell>
          <cell r="V19">
            <v>45800.47</v>
          </cell>
          <cell r="W19">
            <v>1957.4699999999998</v>
          </cell>
          <cell r="X19">
            <v>45966.4</v>
          </cell>
          <cell r="Y19">
            <v>1952.02</v>
          </cell>
        </row>
        <row r="20">
          <cell r="B20">
            <v>46132.939999999995</v>
          </cell>
          <cell r="C20">
            <v>1880.7</v>
          </cell>
          <cell r="D20">
            <v>46300.08</v>
          </cell>
          <cell r="E20">
            <v>1692.18</v>
          </cell>
          <cell r="F20">
            <v>46467.83</v>
          </cell>
          <cell r="G20">
            <v>1736.49</v>
          </cell>
          <cell r="H20">
            <v>46636.18</v>
          </cell>
          <cell r="I20">
            <v>1609.88</v>
          </cell>
          <cell r="J20">
            <v>46805.14</v>
          </cell>
          <cell r="K20">
            <v>1590.0900000000001</v>
          </cell>
          <cell r="L20">
            <v>46974.72</v>
          </cell>
          <cell r="M20">
            <v>1467.16</v>
          </cell>
          <cell r="N20">
            <v>47144.909999999996</v>
          </cell>
          <cell r="O20">
            <v>1441.48</v>
          </cell>
          <cell r="P20">
            <v>47315.71</v>
          </cell>
          <cell r="Q20">
            <v>1366.3</v>
          </cell>
          <cell r="R20">
            <v>47487.14</v>
          </cell>
          <cell r="S20">
            <v>1248.9499999999998</v>
          </cell>
          <cell r="T20">
            <v>47659.18</v>
          </cell>
          <cell r="U20">
            <v>1214.31</v>
          </cell>
          <cell r="V20">
            <v>47831.85</v>
          </cell>
          <cell r="W20">
            <v>1100.79</v>
          </cell>
          <cell r="X20">
            <v>48005.15</v>
          </cell>
          <cell r="Y20">
            <v>1060.05</v>
          </cell>
        </row>
        <row r="21">
          <cell r="B21">
            <v>48179.07</v>
          </cell>
          <cell r="C21">
            <v>982.09</v>
          </cell>
          <cell r="D21">
            <v>48353.619999999995</v>
          </cell>
          <cell r="E21">
            <v>816.0600000000001</v>
          </cell>
          <cell r="F21">
            <v>48528.81</v>
          </cell>
          <cell r="G21">
            <v>824.29</v>
          </cell>
          <cell r="H21">
            <v>48704.63</v>
          </cell>
          <cell r="I21">
            <v>720.5699999999999</v>
          </cell>
          <cell r="J21">
            <v>48881.08</v>
          </cell>
          <cell r="K21">
            <v>664.22</v>
          </cell>
          <cell r="L21">
            <v>49058.18</v>
          </cell>
          <cell r="M21">
            <v>564.47</v>
          </cell>
          <cell r="N21">
            <v>49235.99</v>
          </cell>
          <cell r="O21">
            <v>501.78000000000003</v>
          </cell>
          <cell r="P21">
            <v>49414.299999999996</v>
          </cell>
          <cell r="Q21">
            <v>419.70000000000005</v>
          </cell>
          <cell r="R21">
            <v>49593.4</v>
          </cell>
          <cell r="S21">
            <v>326.11</v>
          </cell>
          <cell r="T21">
            <v>49773</v>
          </cell>
          <cell r="U21">
            <v>253.67000000000002</v>
          </cell>
          <cell r="V21">
            <v>49953.41</v>
          </cell>
          <cell r="W21">
            <v>164.2</v>
          </cell>
          <cell r="X21">
            <v>50134.31</v>
          </cell>
          <cell r="Y21">
            <v>85.19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Evolución"/>
      <sheetName val="Flujo vencimientos"/>
      <sheetName val="Flujo para el libro"/>
      <sheetName val="Stock Estimado"/>
      <sheetName val="MAIPÚ-ENOHSA-PROMES-4,5-millone"/>
    </sheetNames>
    <sheetDataSet>
      <sheetData sheetId="3">
        <row r="13">
          <cell r="B13">
            <v>37958.04</v>
          </cell>
          <cell r="C13">
            <v>28025.84</v>
          </cell>
          <cell r="D13">
            <v>38242.73</v>
          </cell>
          <cell r="E13">
            <v>27741.15</v>
          </cell>
          <cell r="F13">
            <v>38529.55</v>
          </cell>
          <cell r="G13">
            <v>27454.33</v>
          </cell>
          <cell r="H13">
            <v>38818.52</v>
          </cell>
          <cell r="I13">
            <v>27165.36</v>
          </cell>
          <cell r="J13">
            <v>39109.66</v>
          </cell>
          <cell r="K13">
            <v>26874.22</v>
          </cell>
          <cell r="L13">
            <v>39402.98</v>
          </cell>
          <cell r="M13">
            <v>26580.9</v>
          </cell>
          <cell r="N13">
            <v>39698.5</v>
          </cell>
          <cell r="O13">
            <v>26285.38</v>
          </cell>
          <cell r="P13">
            <v>39996.24</v>
          </cell>
          <cell r="Q13">
            <v>25987.64</v>
          </cell>
          <cell r="R13">
            <v>40296.21</v>
          </cell>
          <cell r="S13">
            <v>25687.67</v>
          </cell>
          <cell r="T13">
            <v>40598.43</v>
          </cell>
          <cell r="U13">
            <v>25385.45</v>
          </cell>
          <cell r="V13">
            <v>40902.92</v>
          </cell>
          <cell r="W13">
            <v>25080.96</v>
          </cell>
          <cell r="X13">
            <v>41209.69</v>
          </cell>
          <cell r="Y13">
            <v>24774.18</v>
          </cell>
        </row>
        <row r="14">
          <cell r="B14">
            <v>41518.77</v>
          </cell>
          <cell r="C14">
            <v>24465.11</v>
          </cell>
          <cell r="D14">
            <v>41830.16</v>
          </cell>
          <cell r="E14">
            <v>24153.72</v>
          </cell>
          <cell r="F14">
            <v>42143.88</v>
          </cell>
          <cell r="G14">
            <v>23840</v>
          </cell>
          <cell r="H14">
            <v>42459.96</v>
          </cell>
          <cell r="I14">
            <v>23523.92</v>
          </cell>
          <cell r="J14">
            <v>42778.41</v>
          </cell>
          <cell r="K14">
            <v>23205.47</v>
          </cell>
          <cell r="L14">
            <v>43099.25</v>
          </cell>
          <cell r="M14">
            <v>22884.63</v>
          </cell>
          <cell r="N14">
            <v>43422.49</v>
          </cell>
          <cell r="O14">
            <v>22561.38</v>
          </cell>
          <cell r="P14">
            <v>43748.16</v>
          </cell>
          <cell r="Q14">
            <v>22235.72</v>
          </cell>
          <cell r="R14">
            <v>44076.27</v>
          </cell>
          <cell r="S14">
            <v>21907.6</v>
          </cell>
          <cell r="T14">
            <v>44406.85</v>
          </cell>
          <cell r="U14">
            <v>21577.03</v>
          </cell>
          <cell r="V14">
            <v>44739.9</v>
          </cell>
          <cell r="W14">
            <v>21243.98</v>
          </cell>
          <cell r="X14">
            <v>45075.45</v>
          </cell>
          <cell r="Y14">
            <v>20908.43</v>
          </cell>
        </row>
        <row r="15">
          <cell r="B15">
            <v>45413.51</v>
          </cell>
          <cell r="C15">
            <v>20570.37</v>
          </cell>
          <cell r="D15">
            <v>45754.11</v>
          </cell>
          <cell r="E15">
            <v>20229.76</v>
          </cell>
          <cell r="F15">
            <v>46097.27</v>
          </cell>
          <cell r="G15">
            <v>19886.61</v>
          </cell>
          <cell r="H15">
            <v>46443</v>
          </cell>
          <cell r="I15">
            <v>19540.88</v>
          </cell>
          <cell r="J15">
            <v>46791.32</v>
          </cell>
          <cell r="K15">
            <v>19192.56</v>
          </cell>
          <cell r="L15">
            <v>47142.26</v>
          </cell>
          <cell r="M15">
            <v>18841.62</v>
          </cell>
          <cell r="N15">
            <v>47495.82</v>
          </cell>
          <cell r="O15">
            <v>18488.05</v>
          </cell>
          <cell r="P15">
            <v>47852.04</v>
          </cell>
          <cell r="Q15">
            <v>18131.84</v>
          </cell>
          <cell r="R15">
            <v>48210.93</v>
          </cell>
          <cell r="S15">
            <v>17772.95</v>
          </cell>
          <cell r="T15">
            <v>48572.52</v>
          </cell>
          <cell r="U15">
            <v>17411.36</v>
          </cell>
          <cell r="V15">
            <v>48936.81</v>
          </cell>
          <cell r="W15">
            <v>17047.07</v>
          </cell>
          <cell r="X15">
            <v>49303.84</v>
          </cell>
          <cell r="Y15">
            <v>16680.04</v>
          </cell>
        </row>
        <row r="16">
          <cell r="B16">
            <v>49673.61</v>
          </cell>
          <cell r="C16">
            <v>16310.26</v>
          </cell>
          <cell r="D16">
            <v>50046.17</v>
          </cell>
          <cell r="E16">
            <v>15937.71</v>
          </cell>
          <cell r="F16">
            <v>50421.51</v>
          </cell>
          <cell r="G16">
            <v>15562.37</v>
          </cell>
          <cell r="H16">
            <v>50799.67</v>
          </cell>
          <cell r="I16">
            <v>15184.21</v>
          </cell>
          <cell r="J16">
            <v>51180.67</v>
          </cell>
          <cell r="K16">
            <v>14803.21</v>
          </cell>
          <cell r="L16">
            <v>51564.53</v>
          </cell>
          <cell r="M16">
            <v>14419.35</v>
          </cell>
          <cell r="N16">
            <v>51951.26</v>
          </cell>
          <cell r="O16">
            <v>14032.62</v>
          </cell>
          <cell r="P16">
            <v>52340.9</v>
          </cell>
          <cell r="Q16">
            <v>13642.98</v>
          </cell>
          <cell r="R16">
            <v>52733.45</v>
          </cell>
          <cell r="S16">
            <v>13250.43</v>
          </cell>
          <cell r="T16">
            <v>53128.95</v>
          </cell>
          <cell r="U16">
            <v>12854.93</v>
          </cell>
          <cell r="V16">
            <v>53527.42</v>
          </cell>
          <cell r="W16">
            <v>12456.46</v>
          </cell>
          <cell r="X16">
            <v>53928.88</v>
          </cell>
          <cell r="Y16">
            <v>12055</v>
          </cell>
        </row>
        <row r="17">
          <cell r="B17">
            <v>54333.34</v>
          </cell>
          <cell r="C17">
            <v>11650.54</v>
          </cell>
          <cell r="D17">
            <v>54740.84</v>
          </cell>
          <cell r="E17">
            <v>11243.04</v>
          </cell>
          <cell r="F17">
            <v>55151.4</v>
          </cell>
          <cell r="G17">
            <v>10832.48</v>
          </cell>
          <cell r="H17">
            <v>55565.03</v>
          </cell>
          <cell r="I17">
            <v>10418.85</v>
          </cell>
          <cell r="J17">
            <v>55981.77</v>
          </cell>
          <cell r="K17">
            <v>10002.11</v>
          </cell>
          <cell r="L17">
            <v>56401.64</v>
          </cell>
          <cell r="M17">
            <v>9582.24</v>
          </cell>
          <cell r="N17">
            <v>56824.65</v>
          </cell>
          <cell r="O17">
            <v>9159.23</v>
          </cell>
          <cell r="P17">
            <v>57250.83</v>
          </cell>
          <cell r="Q17">
            <v>8733.05</v>
          </cell>
          <cell r="R17">
            <v>57680.21</v>
          </cell>
          <cell r="S17">
            <v>8303.67</v>
          </cell>
          <cell r="T17">
            <v>58112.82</v>
          </cell>
          <cell r="U17">
            <v>7871.06</v>
          </cell>
          <cell r="V17">
            <v>58548.66</v>
          </cell>
          <cell r="W17">
            <v>7435.22</v>
          </cell>
          <cell r="X17">
            <v>58987.78</v>
          </cell>
          <cell r="Y17">
            <v>6996.1</v>
          </cell>
        </row>
        <row r="18">
          <cell r="B18">
            <v>59430.18</v>
          </cell>
          <cell r="C18">
            <v>6553.69</v>
          </cell>
          <cell r="D18">
            <v>59875.91</v>
          </cell>
          <cell r="E18">
            <v>6107.97</v>
          </cell>
          <cell r="F18">
            <v>60324.98</v>
          </cell>
          <cell r="G18">
            <v>5658.9</v>
          </cell>
          <cell r="H18">
            <v>60777.42</v>
          </cell>
          <cell r="I18">
            <v>5206.46</v>
          </cell>
          <cell r="J18">
            <v>61233.25</v>
          </cell>
          <cell r="K18">
            <v>4750.63</v>
          </cell>
          <cell r="L18">
            <v>61692.5</v>
          </cell>
          <cell r="M18">
            <v>4291.38</v>
          </cell>
          <cell r="N18">
            <v>62155.19</v>
          </cell>
          <cell r="O18">
            <v>3828.69</v>
          </cell>
          <cell r="P18">
            <v>62621.35</v>
          </cell>
          <cell r="Q18">
            <v>3362.52</v>
          </cell>
          <cell r="R18">
            <v>63091.02</v>
          </cell>
          <cell r="S18">
            <v>2892.86</v>
          </cell>
          <cell r="T18">
            <v>63564.2</v>
          </cell>
          <cell r="U18">
            <v>2419.68</v>
          </cell>
          <cell r="V18">
            <v>64040.93</v>
          </cell>
          <cell r="W18">
            <v>1942.95</v>
          </cell>
          <cell r="X18">
            <v>64521.23</v>
          </cell>
          <cell r="Y18">
            <v>1462.64</v>
          </cell>
        </row>
        <row r="19">
          <cell r="B19">
            <v>65005.15</v>
          </cell>
          <cell r="C19">
            <v>978.73</v>
          </cell>
          <cell r="D19">
            <v>65492.68000000001</v>
          </cell>
          <cell r="E19">
            <v>491.2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</sheetNames>
    <sheetDataSet>
      <sheetData sheetId="2">
        <row r="51">
          <cell r="J51">
            <v>4891.8</v>
          </cell>
          <cell r="K51">
            <v>22216.26</v>
          </cell>
          <cell r="M51">
            <v>466963.7</v>
          </cell>
        </row>
      </sheetData>
      <sheetData sheetId="3">
        <row r="13">
          <cell r="B13">
            <v>22662.81</v>
          </cell>
          <cell r="C13">
            <v>4445.25</v>
          </cell>
          <cell r="D13">
            <v>22889.44</v>
          </cell>
          <cell r="E13">
            <v>4218.62</v>
          </cell>
          <cell r="F13">
            <v>23118.33</v>
          </cell>
          <cell r="G13">
            <v>3989.73</v>
          </cell>
          <cell r="H13">
            <v>23349.51</v>
          </cell>
          <cell r="I13">
            <v>3758.55</v>
          </cell>
          <cell r="J13">
            <v>23583.01</v>
          </cell>
          <cell r="K13">
            <v>3525.05</v>
          </cell>
          <cell r="L13">
            <v>23818.84</v>
          </cell>
          <cell r="M13">
            <v>3289.22</v>
          </cell>
          <cell r="N13">
            <v>24057.03</v>
          </cell>
          <cell r="O13">
            <v>3051.03</v>
          </cell>
          <cell r="P13">
            <v>24297.6</v>
          </cell>
          <cell r="Q13">
            <v>2810.46</v>
          </cell>
          <cell r="R13">
            <v>24540.57</v>
          </cell>
          <cell r="S13">
            <v>2567.49</v>
          </cell>
          <cell r="T13">
            <v>24785.98</v>
          </cell>
          <cell r="U13">
            <v>2322.08</v>
          </cell>
          <cell r="V13">
            <v>25033.84</v>
          </cell>
          <cell r="W13">
            <v>2074.22</v>
          </cell>
          <cell r="X13">
            <v>25284.18</v>
          </cell>
          <cell r="Y13">
            <v>1823.88</v>
          </cell>
        </row>
        <row r="14">
          <cell r="B14">
            <v>25537.02</v>
          </cell>
          <cell r="C14">
            <v>1571.04</v>
          </cell>
          <cell r="D14">
            <v>25792.39</v>
          </cell>
          <cell r="E14">
            <v>1315.67</v>
          </cell>
          <cell r="F14">
            <v>26050.32</v>
          </cell>
          <cell r="G14">
            <v>1057.75</v>
          </cell>
          <cell r="H14">
            <v>26310.82</v>
          </cell>
          <cell r="I14">
            <v>797.24</v>
          </cell>
          <cell r="J14">
            <v>26573.93</v>
          </cell>
          <cell r="K14">
            <v>534.14</v>
          </cell>
          <cell r="L14">
            <v>26839.66</v>
          </cell>
          <cell r="M14">
            <v>268.4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MAIPU-Compra-Bienes-Capital"/>
    </sheetNames>
    <sheetDataSet>
      <sheetData sheetId="2">
        <row r="50">
          <cell r="J50">
            <v>28758.24</v>
          </cell>
          <cell r="K50">
            <v>130606.45</v>
          </cell>
          <cell r="M50">
            <v>2745217.5500000017</v>
          </cell>
        </row>
      </sheetData>
      <sheetData sheetId="3">
        <row r="13">
          <cell r="B13">
            <v>133231.64</v>
          </cell>
          <cell r="C13">
            <v>26133.05</v>
          </cell>
          <cell r="D13">
            <v>134563.96</v>
          </cell>
          <cell r="E13">
            <v>24800.73</v>
          </cell>
          <cell r="F13">
            <v>135909.6</v>
          </cell>
          <cell r="G13">
            <v>23455.09</v>
          </cell>
          <cell r="H13">
            <v>137268.69</v>
          </cell>
          <cell r="I13">
            <v>22096</v>
          </cell>
          <cell r="J13">
            <v>138641.38</v>
          </cell>
          <cell r="K13">
            <v>20723.31</v>
          </cell>
          <cell r="L13">
            <v>140027.8</v>
          </cell>
          <cell r="M13">
            <v>19336.9</v>
          </cell>
          <cell r="N13">
            <v>141428.07</v>
          </cell>
          <cell r="O13">
            <v>17936.62</v>
          </cell>
          <cell r="P13">
            <v>142842.35</v>
          </cell>
          <cell r="Q13">
            <v>16522.34</v>
          </cell>
          <cell r="R13">
            <v>144270.78</v>
          </cell>
          <cell r="S13">
            <v>15093.92</v>
          </cell>
          <cell r="T13">
            <v>145713.49</v>
          </cell>
          <cell r="U13">
            <v>13651.21</v>
          </cell>
          <cell r="V13">
            <v>147170.62</v>
          </cell>
          <cell r="W13">
            <v>12194.07</v>
          </cell>
          <cell r="X13">
            <v>148642.33</v>
          </cell>
          <cell r="Y13">
            <v>10722.37</v>
          </cell>
        </row>
        <row r="14">
          <cell r="B14">
            <v>150128.75</v>
          </cell>
          <cell r="C14">
            <v>9235.94</v>
          </cell>
          <cell r="D14">
            <v>151630.04</v>
          </cell>
          <cell r="E14">
            <v>7734.66</v>
          </cell>
          <cell r="F14">
            <v>153146.33</v>
          </cell>
          <cell r="G14">
            <v>6218.36</v>
          </cell>
          <cell r="H14">
            <v>154677.8</v>
          </cell>
          <cell r="I14">
            <v>4686.89</v>
          </cell>
          <cell r="J14">
            <v>156224.58</v>
          </cell>
          <cell r="K14">
            <v>3140.11</v>
          </cell>
          <cell r="L14">
            <v>157786.82</v>
          </cell>
          <cell r="M14">
            <v>1577.87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ormas Legales"/>
      <sheetName val="Ingresos"/>
      <sheetName val="Ingresos Anuales"/>
      <sheetName val="Evolución"/>
      <sheetName val="Flujos Vencimientos"/>
      <sheetName val="Programación Financiera"/>
      <sheetName val="Pagos 2010"/>
      <sheetName val="Stock Estimado"/>
      <sheetName val="MAIPU-Banco-Nación-Argentina-8-"/>
    </sheetNames>
    <sheetDataSet>
      <sheetData sheetId="4">
        <row r="13">
          <cell r="B13">
            <v>283754.33</v>
          </cell>
          <cell r="C13">
            <v>37367.19</v>
          </cell>
          <cell r="D13">
            <v>287286.48</v>
          </cell>
          <cell r="E13">
            <v>33835.04</v>
          </cell>
          <cell r="F13">
            <v>290862.6</v>
          </cell>
          <cell r="G13">
            <v>30258.92</v>
          </cell>
          <cell r="H13">
            <v>294483.23</v>
          </cell>
          <cell r="I13">
            <v>26638.29</v>
          </cell>
          <cell r="J13">
            <v>298148.93</v>
          </cell>
          <cell r="K13">
            <v>22972.58</v>
          </cell>
          <cell r="L13">
            <v>301860.26</v>
          </cell>
          <cell r="M13">
            <v>19261.25</v>
          </cell>
          <cell r="N13">
            <v>305617.8</v>
          </cell>
          <cell r="O13">
            <v>15503.72</v>
          </cell>
          <cell r="P13">
            <v>309422.1</v>
          </cell>
          <cell r="Q13">
            <v>11699.41</v>
          </cell>
          <cell r="R13">
            <v>313273.76</v>
          </cell>
          <cell r="S13">
            <v>7847.75</v>
          </cell>
          <cell r="T13">
            <v>317173.37</v>
          </cell>
          <cell r="U13">
            <v>3948.15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Programación Financiera"/>
      <sheetName val="Pagos 2011"/>
      <sheetName val="Flujos Vencimientos"/>
      <sheetName val="Stock Estimado"/>
      <sheetName val="CAPITAL-Préstamo-Banco-Supervie"/>
    </sheetNames>
    <sheetDataSet>
      <sheetData sheetId="5">
        <row r="13">
          <cell r="B13">
            <v>1326704.62</v>
          </cell>
          <cell r="C13">
            <v>763646.26</v>
          </cell>
          <cell r="N13">
            <v>1395444.5</v>
          </cell>
          <cell r="O13">
            <v>694906.37</v>
          </cell>
        </row>
        <row r="14">
          <cell r="B14">
            <v>1467745.97</v>
          </cell>
          <cell r="C14">
            <v>622604.91</v>
          </cell>
          <cell r="N14">
            <v>1543793.56</v>
          </cell>
          <cell r="O14">
            <v>546557.32</v>
          </cell>
        </row>
        <row r="15">
          <cell r="B15">
            <v>1623781.36</v>
          </cell>
          <cell r="C15">
            <v>466569.51</v>
          </cell>
          <cell r="N15">
            <v>1707913.53</v>
          </cell>
          <cell r="O15">
            <v>382437.34</v>
          </cell>
        </row>
        <row r="16">
          <cell r="B16">
            <v>1796404.8</v>
          </cell>
          <cell r="C16">
            <v>293946.07</v>
          </cell>
          <cell r="N16">
            <v>1889481.02</v>
          </cell>
          <cell r="O16">
            <v>200869.85</v>
          </cell>
        </row>
        <row r="17">
          <cell r="B17">
            <v>1987379.76</v>
          </cell>
          <cell r="C17">
            <v>102971.11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</sheetNames>
    <sheetDataSet>
      <sheetData sheetId="2">
        <row r="60">
          <cell r="J60">
            <v>29171.21</v>
          </cell>
          <cell r="K60">
            <v>132481.97</v>
          </cell>
          <cell r="M60">
            <v>2784639.0000000014</v>
          </cell>
        </row>
      </sheetData>
      <sheetData sheetId="3">
        <row r="13">
          <cell r="B13">
            <v>135144.85</v>
          </cell>
          <cell r="C13">
            <v>26508.32</v>
          </cell>
          <cell r="D13">
            <v>136496.3</v>
          </cell>
          <cell r="E13">
            <v>25156.87</v>
          </cell>
          <cell r="F13">
            <v>137861.27</v>
          </cell>
          <cell r="G13">
            <v>23791.91</v>
          </cell>
          <cell r="H13">
            <v>139239.88</v>
          </cell>
          <cell r="I13">
            <v>22413.3</v>
          </cell>
          <cell r="J13">
            <v>140632.28</v>
          </cell>
          <cell r="K13">
            <v>21020.9</v>
          </cell>
          <cell r="L13">
            <v>142038.6</v>
          </cell>
          <cell r="M13">
            <v>19614.58</v>
          </cell>
          <cell r="N13">
            <v>143458.99</v>
          </cell>
          <cell r="O13">
            <v>18194.19</v>
          </cell>
          <cell r="P13">
            <v>144893.58</v>
          </cell>
          <cell r="Q13">
            <v>16759.6</v>
          </cell>
          <cell r="R13">
            <v>146342.51</v>
          </cell>
          <cell r="S13">
            <v>15310.66</v>
          </cell>
          <cell r="T13">
            <v>147805.94</v>
          </cell>
          <cell r="U13">
            <v>13847.24</v>
          </cell>
          <cell r="V13">
            <v>149284</v>
          </cell>
          <cell r="W13">
            <v>12369.18</v>
          </cell>
          <cell r="X13">
            <v>150776.84</v>
          </cell>
          <cell r="Y13">
            <v>10876.34</v>
          </cell>
        </row>
        <row r="14">
          <cell r="B14">
            <v>152284.6</v>
          </cell>
          <cell r="C14">
            <v>9368.57</v>
          </cell>
          <cell r="D14">
            <v>153807.45</v>
          </cell>
          <cell r="E14">
            <v>7845.73</v>
          </cell>
          <cell r="F14">
            <v>155345.52</v>
          </cell>
          <cell r="G14">
            <v>6307.65</v>
          </cell>
          <cell r="H14">
            <v>156898.98</v>
          </cell>
          <cell r="I14">
            <v>4754.2</v>
          </cell>
          <cell r="J14">
            <v>158467.97</v>
          </cell>
          <cell r="K14">
            <v>3185.21</v>
          </cell>
          <cell r="L14">
            <v>160052.65</v>
          </cell>
          <cell r="M14">
            <v>1600.53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im N°3"/>
      <sheetName val="Cat"/>
      <sheetName val="Pas Port Alam"/>
      <sheetName val="Resc y Rehab Alam"/>
      <sheetName val="Parq Cent"/>
      <sheetName val="Anexo I - RESUMEN"/>
      <sheetName val="Evolución en pesos"/>
      <sheetName val="Flujo Vencimientos"/>
      <sheetName val="Anexo II - Evolución en u$s"/>
      <sheetName val="Anexo III - Cuota 31-12-2006"/>
      <sheetName val="Anexo II - Evolución u$s (no)"/>
      <sheetName val="Anexo III-Cuota 31-12-06 (no) "/>
      <sheetName val="Liquidación"/>
      <sheetName val="Stock Estimado"/>
      <sheetName val="CAPITAL-Refinanciación-BID-BIRF"/>
    </sheetNames>
    <sheetDataSet>
      <sheetData sheetId="6">
        <row r="76">
          <cell r="Q76">
            <v>79231.01</v>
          </cell>
        </row>
        <row r="79">
          <cell r="K79">
            <v>2603.9</v>
          </cell>
          <cell r="L79">
            <v>14400.36</v>
          </cell>
          <cell r="N79">
            <v>1569638.6924691761</v>
          </cell>
        </row>
      </sheetData>
      <sheetData sheetId="7">
        <row r="13">
          <cell r="B13">
            <v>71396.98000000001</v>
          </cell>
          <cell r="C13">
            <v>13097.9</v>
          </cell>
          <cell r="D13">
            <v>72318.56</v>
          </cell>
          <cell r="E13">
            <v>11872.16</v>
          </cell>
          <cell r="F13">
            <v>72983.20999999999</v>
          </cell>
          <cell r="G13">
            <v>13140.960000000001</v>
          </cell>
          <cell r="H13">
            <v>73303.56</v>
          </cell>
          <cell r="I13">
            <v>12652.400000000001</v>
          </cell>
          <cell r="J13">
            <v>73625.41</v>
          </cell>
          <cell r="K13">
            <v>13006.470000000001</v>
          </cell>
          <cell r="L13">
            <v>73948.58</v>
          </cell>
          <cell r="M13">
            <v>12520.630000000001</v>
          </cell>
          <cell r="N13">
            <v>74273.26000000001</v>
          </cell>
          <cell r="O13">
            <v>12868.6</v>
          </cell>
          <cell r="P13">
            <v>74599.27</v>
          </cell>
          <cell r="Q13">
            <v>12798.39</v>
          </cell>
          <cell r="R13">
            <v>74926.81</v>
          </cell>
          <cell r="S13">
            <v>12316.720000000001</v>
          </cell>
          <cell r="T13">
            <v>75255.69</v>
          </cell>
          <cell r="U13">
            <v>12655.349999999999</v>
          </cell>
          <cell r="V13">
            <v>75586.11</v>
          </cell>
          <cell r="W13">
            <v>12176.62</v>
          </cell>
          <cell r="X13">
            <v>75917.88</v>
          </cell>
          <cell r="Y13">
            <v>12508.8</v>
          </cell>
        </row>
        <row r="14">
          <cell r="B14">
            <v>76454.45</v>
          </cell>
          <cell r="C14">
            <v>12467.289999999999</v>
          </cell>
          <cell r="D14">
            <v>76994.7</v>
          </cell>
          <cell r="E14">
            <v>11222.24</v>
          </cell>
          <cell r="F14">
            <v>77538.87</v>
          </cell>
          <cell r="G14">
            <v>12380.71</v>
          </cell>
          <cell r="H14">
            <v>78086.79000000001</v>
          </cell>
          <cell r="I14">
            <v>11937.66</v>
          </cell>
          <cell r="J14">
            <v>78638.68</v>
          </cell>
          <cell r="K14">
            <v>12289.17</v>
          </cell>
          <cell r="L14">
            <v>79194.37</v>
          </cell>
          <cell r="M14">
            <v>11846.64</v>
          </cell>
          <cell r="N14">
            <v>79754.09</v>
          </cell>
          <cell r="O14">
            <v>12192.539999999999</v>
          </cell>
          <cell r="P14">
            <v>80317.65000000001</v>
          </cell>
          <cell r="Q14">
            <v>12142.28</v>
          </cell>
          <cell r="R14">
            <v>80885.32</v>
          </cell>
          <cell r="S14">
            <v>11700.669999999998</v>
          </cell>
          <cell r="T14">
            <v>81456.88</v>
          </cell>
          <cell r="U14">
            <v>12037.79</v>
          </cell>
          <cell r="V14">
            <v>82032.59</v>
          </cell>
          <cell r="W14">
            <v>11596.95</v>
          </cell>
          <cell r="X14">
            <v>82612.25</v>
          </cell>
          <cell r="Y14">
            <v>11927.83</v>
          </cell>
        </row>
        <row r="15">
          <cell r="B15">
            <v>82911.62</v>
          </cell>
          <cell r="C15">
            <v>11830.21</v>
          </cell>
          <cell r="D15">
            <v>83211.95000000001</v>
          </cell>
          <cell r="E15">
            <v>10596.44</v>
          </cell>
          <cell r="F15">
            <v>83513.48</v>
          </cell>
          <cell r="G15">
            <v>11632.380000000001</v>
          </cell>
          <cell r="H15">
            <v>83815.99</v>
          </cell>
          <cell r="I15">
            <v>11160.18</v>
          </cell>
          <cell r="J15">
            <v>84119.72</v>
          </cell>
          <cell r="K15">
            <v>11431.060000000001</v>
          </cell>
          <cell r="L15">
            <v>84424.42000000001</v>
          </cell>
          <cell r="M15">
            <v>10963.59</v>
          </cell>
          <cell r="N15">
            <v>84730.35</v>
          </cell>
          <cell r="O15">
            <v>11226.2</v>
          </cell>
          <cell r="P15">
            <v>85037.27</v>
          </cell>
          <cell r="Q15">
            <v>11122.43</v>
          </cell>
          <cell r="R15">
            <v>85345.42</v>
          </cell>
          <cell r="S15">
            <v>10662.34</v>
          </cell>
          <cell r="T15">
            <v>85654.57</v>
          </cell>
          <cell r="U15">
            <v>10912.19</v>
          </cell>
          <cell r="V15">
            <v>85964.95</v>
          </cell>
          <cell r="W15">
            <v>10457.080000000002</v>
          </cell>
          <cell r="X15">
            <v>86276.35</v>
          </cell>
          <cell r="Y15">
            <v>10698.25</v>
          </cell>
        </row>
        <row r="16">
          <cell r="B16">
            <v>86588.98</v>
          </cell>
          <cell r="C16">
            <v>10589.93</v>
          </cell>
          <cell r="D16">
            <v>86902.64</v>
          </cell>
          <cell r="E16">
            <v>9804.55</v>
          </cell>
          <cell r="F16">
            <v>87217.55</v>
          </cell>
          <cell r="G16">
            <v>10370.51</v>
          </cell>
          <cell r="H16">
            <v>87533.47</v>
          </cell>
          <cell r="I16">
            <v>9928.49</v>
          </cell>
          <cell r="J16">
            <v>87850.67</v>
          </cell>
          <cell r="K16">
            <v>10147.35</v>
          </cell>
          <cell r="L16">
            <v>88168.89</v>
          </cell>
          <cell r="M16">
            <v>9710.65</v>
          </cell>
          <cell r="N16">
            <v>88488.39</v>
          </cell>
          <cell r="O16">
            <v>9920.41</v>
          </cell>
          <cell r="P16">
            <v>88808.92000000001</v>
          </cell>
          <cell r="Q16">
            <v>9805.5</v>
          </cell>
          <cell r="R16">
            <v>89130.74</v>
          </cell>
          <cell r="S16">
            <v>9377.060000000001</v>
          </cell>
          <cell r="T16">
            <v>89453.59000000001</v>
          </cell>
          <cell r="U16">
            <v>9572.79</v>
          </cell>
          <cell r="V16">
            <v>89777.75</v>
          </cell>
          <cell r="W16">
            <v>9149.93</v>
          </cell>
          <cell r="X16">
            <v>90102.95000000001</v>
          </cell>
          <cell r="Y16">
            <v>9336.130000000001</v>
          </cell>
        </row>
        <row r="17">
          <cell r="B17">
            <v>90429.46</v>
          </cell>
          <cell r="C17">
            <v>9216.35</v>
          </cell>
          <cell r="D17">
            <v>90757.02</v>
          </cell>
          <cell r="E17">
            <v>8215.39</v>
          </cell>
          <cell r="F17">
            <v>91085.89</v>
          </cell>
          <cell r="G17">
            <v>8973.82</v>
          </cell>
          <cell r="H17">
            <v>91415.83</v>
          </cell>
          <cell r="I17">
            <v>8565.52</v>
          </cell>
          <cell r="J17">
            <v>91747.1</v>
          </cell>
          <cell r="K17">
            <v>8727.289999999999</v>
          </cell>
          <cell r="L17">
            <v>92079.43000000001</v>
          </cell>
          <cell r="M17">
            <v>8324.99</v>
          </cell>
          <cell r="N17">
            <v>92413.1</v>
          </cell>
          <cell r="O17">
            <v>8476.7</v>
          </cell>
          <cell r="P17">
            <v>92747.85</v>
          </cell>
          <cell r="Q17">
            <v>8349.869999999999</v>
          </cell>
          <cell r="R17">
            <v>93083.94</v>
          </cell>
          <cell r="S17">
            <v>7956.7300000000005</v>
          </cell>
          <cell r="T17">
            <v>93421.12000000001</v>
          </cell>
          <cell r="U17">
            <v>8093.060000000001</v>
          </cell>
          <cell r="V17">
            <v>93759.65</v>
          </cell>
          <cell r="W17">
            <v>7706.26</v>
          </cell>
          <cell r="X17">
            <v>94099.27</v>
          </cell>
          <cell r="Y17">
            <v>7832.14</v>
          </cell>
        </row>
        <row r="18">
          <cell r="B18">
            <v>94440.26</v>
          </cell>
          <cell r="C18">
            <v>7700.099999999999</v>
          </cell>
          <cell r="D18">
            <v>94782.35</v>
          </cell>
          <cell r="E18">
            <v>6834.6900000000005</v>
          </cell>
          <cell r="F18">
            <v>95125.81</v>
          </cell>
          <cell r="G18">
            <v>7432.84</v>
          </cell>
          <cell r="H18">
            <v>95470.39</v>
          </cell>
          <cell r="I18">
            <v>7062.18</v>
          </cell>
          <cell r="J18">
            <v>95816.35</v>
          </cell>
          <cell r="K18">
            <v>7161.29</v>
          </cell>
          <cell r="L18">
            <v>96163.42000000001</v>
          </cell>
          <cell r="M18">
            <v>6797.320000000001</v>
          </cell>
          <cell r="N18">
            <v>96511.89</v>
          </cell>
          <cell r="O18">
            <v>6885.41</v>
          </cell>
          <cell r="P18">
            <v>96861.48000000001</v>
          </cell>
          <cell r="Q18">
            <v>6745.83</v>
          </cell>
          <cell r="R18">
            <v>97212.48</v>
          </cell>
          <cell r="S18">
            <v>6392.03</v>
          </cell>
          <cell r="T18">
            <v>97564.61</v>
          </cell>
          <cell r="U18">
            <v>6463.3</v>
          </cell>
          <cell r="V18">
            <v>97918.16</v>
          </cell>
          <cell r="W18">
            <v>6116.54</v>
          </cell>
          <cell r="X18">
            <v>98272.85</v>
          </cell>
          <cell r="Y18">
            <v>6176.37</v>
          </cell>
        </row>
        <row r="19">
          <cell r="B19">
            <v>98628.96</v>
          </cell>
          <cell r="C19">
            <v>6031.22</v>
          </cell>
          <cell r="D19">
            <v>98986.22</v>
          </cell>
          <cell r="E19">
            <v>5315.429999999999</v>
          </cell>
          <cell r="F19">
            <v>99344.92</v>
          </cell>
          <cell r="G19">
            <v>5737.51</v>
          </cell>
          <cell r="H19">
            <v>99704.78</v>
          </cell>
          <cell r="I19">
            <v>5408.64</v>
          </cell>
          <cell r="J19">
            <v>100066.08</v>
          </cell>
          <cell r="K19">
            <v>5439.22</v>
          </cell>
          <cell r="L19">
            <v>100428.55</v>
          </cell>
          <cell r="M19">
            <v>5117.76</v>
          </cell>
          <cell r="N19">
            <v>100792.47</v>
          </cell>
          <cell r="O19">
            <v>5136.3</v>
          </cell>
          <cell r="P19">
            <v>101157.57</v>
          </cell>
          <cell r="Q19">
            <v>4983.08</v>
          </cell>
          <cell r="R19">
            <v>101524.13</v>
          </cell>
          <cell r="S19">
            <v>4672.88</v>
          </cell>
          <cell r="T19">
            <v>101891.88</v>
          </cell>
          <cell r="U19">
            <v>4673.04</v>
          </cell>
          <cell r="V19">
            <v>102261.11</v>
          </cell>
          <cell r="W19">
            <v>4370.63</v>
          </cell>
          <cell r="X19">
            <v>102631.53</v>
          </cell>
          <cell r="Y19">
            <v>4358.3099999999995</v>
          </cell>
        </row>
        <row r="20">
          <cell r="B20">
            <v>103003.44</v>
          </cell>
          <cell r="C20">
            <v>4199.139999999999</v>
          </cell>
          <cell r="D20">
            <v>103376.55</v>
          </cell>
          <cell r="E20">
            <v>3778.1800000000003</v>
          </cell>
          <cell r="F20">
            <v>103751.15</v>
          </cell>
          <cell r="G20">
            <v>3877.17</v>
          </cell>
          <cell r="H20">
            <v>104126.97</v>
          </cell>
          <cell r="I20">
            <v>3594.53</v>
          </cell>
          <cell r="J20">
            <v>104504.29</v>
          </cell>
          <cell r="K20">
            <v>3550.3</v>
          </cell>
          <cell r="L20">
            <v>104882.84000000001</v>
          </cell>
          <cell r="M20">
            <v>3275.76</v>
          </cell>
          <cell r="N20">
            <v>105262.9</v>
          </cell>
          <cell r="O20">
            <v>3218.48</v>
          </cell>
          <cell r="P20">
            <v>105644.20000000001</v>
          </cell>
          <cell r="Q20">
            <v>3050.62</v>
          </cell>
          <cell r="R20">
            <v>106027.02</v>
          </cell>
          <cell r="S20">
            <v>2788.66</v>
          </cell>
          <cell r="T20">
            <v>106411.08</v>
          </cell>
          <cell r="U20">
            <v>2711.27</v>
          </cell>
          <cell r="V20">
            <v>106796.68000000001</v>
          </cell>
          <cell r="W20">
            <v>2457.8199999999997</v>
          </cell>
          <cell r="X20">
            <v>107183.53</v>
          </cell>
          <cell r="Y20">
            <v>2366.84</v>
          </cell>
        </row>
        <row r="21">
          <cell r="B21">
            <v>107571.93000000001</v>
          </cell>
          <cell r="C21">
            <v>2192.69</v>
          </cell>
          <cell r="D21">
            <v>107961.59000000001</v>
          </cell>
          <cell r="E21">
            <v>1822.03</v>
          </cell>
          <cell r="F21">
            <v>108352.81</v>
          </cell>
          <cell r="G21">
            <v>1840.52</v>
          </cell>
          <cell r="H21">
            <v>108745.3</v>
          </cell>
          <cell r="I21">
            <v>1608.86</v>
          </cell>
          <cell r="J21">
            <v>109139.36</v>
          </cell>
          <cell r="K21">
            <v>1483.1200000000001</v>
          </cell>
          <cell r="L21">
            <v>109534.69</v>
          </cell>
          <cell r="M21">
            <v>1260.38</v>
          </cell>
          <cell r="N21">
            <v>109931.62</v>
          </cell>
          <cell r="O21">
            <v>1120.43</v>
          </cell>
          <cell r="P21">
            <v>110329.82</v>
          </cell>
          <cell r="Q21">
            <v>937.01</v>
          </cell>
          <cell r="R21">
            <v>110729.62</v>
          </cell>
          <cell r="S21">
            <v>728.1099999999999</v>
          </cell>
          <cell r="T21">
            <v>111130.72</v>
          </cell>
          <cell r="U21">
            <v>566.29</v>
          </cell>
          <cell r="V21">
            <v>111533.42</v>
          </cell>
          <cell r="W21">
            <v>366.65999999999997</v>
          </cell>
          <cell r="X21">
            <v>111937.43000000001</v>
          </cell>
          <cell r="Y21">
            <v>190.13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vencimientos"/>
      <sheetName val="Stock Estimado"/>
      <sheetName val="CAPITAL-Refinanciación-Fondo-In"/>
    </sheetNames>
    <sheetDataSet>
      <sheetData sheetId="1">
        <row r="13">
          <cell r="B13">
            <v>394295.1</v>
          </cell>
          <cell r="C13">
            <v>15709.18</v>
          </cell>
          <cell r="D13">
            <v>402072.98</v>
          </cell>
          <cell r="E13">
            <v>8129.59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v. Urb"/>
      <sheetName val="Catast"/>
      <sheetName val="Comp Eq Serv Pub"/>
      <sheetName val="Comp Eq Ob Pub"/>
      <sheetName val="RESUMEN - Anexo I"/>
      <sheetName val="Evolución en pesos"/>
      <sheetName val="Flujo de Vencimientos"/>
      <sheetName val="Stock Estimado"/>
      <sheetName val="Evolución en U$S - Anexo II"/>
      <sheetName val="Liquidación"/>
      <sheetName val="GENERAL-ALVEAR-Refinanciación-B"/>
    </sheetNames>
    <sheetDataSet>
      <sheetData sheetId="5">
        <row r="63">
          <cell r="Q63">
            <v>47952.81</v>
          </cell>
        </row>
        <row r="66">
          <cell r="K66">
            <v>1575.95</v>
          </cell>
          <cell r="L66">
            <v>8715.49</v>
          </cell>
          <cell r="N66">
            <v>949988.2700000005</v>
          </cell>
        </row>
      </sheetData>
      <sheetData sheetId="6">
        <row r="13">
          <cell r="B13">
            <v>43211.4</v>
          </cell>
          <cell r="C13">
            <v>7927.2</v>
          </cell>
          <cell r="D13">
            <v>43769.189999999995</v>
          </cell>
          <cell r="E13">
            <v>7185.33</v>
          </cell>
          <cell r="F13">
            <v>44171.43</v>
          </cell>
          <cell r="G13">
            <v>7953.299999999999</v>
          </cell>
          <cell r="H13">
            <v>44365.34</v>
          </cell>
          <cell r="I13">
            <v>7657.59</v>
          </cell>
          <cell r="J13">
            <v>44560.1</v>
          </cell>
          <cell r="K13">
            <v>7871.889999999999</v>
          </cell>
          <cell r="L13">
            <v>44755.72</v>
          </cell>
          <cell r="M13">
            <v>7577.8</v>
          </cell>
          <cell r="N13">
            <v>44952.2</v>
          </cell>
          <cell r="O13">
            <v>7788.4400000000005</v>
          </cell>
          <cell r="P13">
            <v>45149.54</v>
          </cell>
          <cell r="Q13">
            <v>7745.91</v>
          </cell>
          <cell r="R13">
            <v>45347.75</v>
          </cell>
          <cell r="S13">
            <v>7454.41</v>
          </cell>
          <cell r="T13">
            <v>45546.82</v>
          </cell>
          <cell r="U13">
            <v>7659.33</v>
          </cell>
          <cell r="V13">
            <v>45746.77</v>
          </cell>
          <cell r="W13">
            <v>7369.62</v>
          </cell>
          <cell r="X13">
            <v>45947.6</v>
          </cell>
          <cell r="Y13">
            <v>7570.67</v>
          </cell>
        </row>
        <row r="14">
          <cell r="B14">
            <v>46272.31</v>
          </cell>
          <cell r="C14">
            <v>7545.55</v>
          </cell>
          <cell r="D14">
            <v>46599.32</v>
          </cell>
          <cell r="E14">
            <v>6792</v>
          </cell>
          <cell r="F14">
            <v>46928.64</v>
          </cell>
          <cell r="G14">
            <v>7493.139999999999</v>
          </cell>
          <cell r="H14">
            <v>47260.28</v>
          </cell>
          <cell r="I14">
            <v>7225.02</v>
          </cell>
          <cell r="J14">
            <v>47594.27</v>
          </cell>
          <cell r="K14">
            <v>7437.72</v>
          </cell>
          <cell r="L14">
            <v>47930.619999999995</v>
          </cell>
          <cell r="M14">
            <v>7169.889999999999</v>
          </cell>
          <cell r="N14">
            <v>48269.35</v>
          </cell>
          <cell r="O14">
            <v>7379.280000000001</v>
          </cell>
          <cell r="P14">
            <v>48610.47</v>
          </cell>
          <cell r="Q14">
            <v>7348.83</v>
          </cell>
          <cell r="R14">
            <v>48954</v>
          </cell>
          <cell r="S14">
            <v>7081.56</v>
          </cell>
          <cell r="T14">
            <v>49299.95</v>
          </cell>
          <cell r="U14">
            <v>7285.57</v>
          </cell>
          <cell r="V14">
            <v>49648.36</v>
          </cell>
          <cell r="W14">
            <v>7018.79</v>
          </cell>
          <cell r="X14">
            <v>49999.22</v>
          </cell>
          <cell r="Y14">
            <v>7219.05</v>
          </cell>
        </row>
        <row r="15">
          <cell r="B15">
            <v>50180.369999999995</v>
          </cell>
          <cell r="C15">
            <v>7159.99</v>
          </cell>
          <cell r="D15">
            <v>50362.17</v>
          </cell>
          <cell r="E15">
            <v>6413.23</v>
          </cell>
          <cell r="F15">
            <v>50544.63</v>
          </cell>
          <cell r="G15">
            <v>7040.24</v>
          </cell>
          <cell r="H15">
            <v>50727.759999999995</v>
          </cell>
          <cell r="I15">
            <v>6754.42</v>
          </cell>
          <cell r="J15">
            <v>50911.54</v>
          </cell>
          <cell r="K15">
            <v>6918.379999999999</v>
          </cell>
          <cell r="L15">
            <v>51096</v>
          </cell>
          <cell r="M15">
            <v>6635.48</v>
          </cell>
          <cell r="N15">
            <v>51281.119999999995</v>
          </cell>
          <cell r="O15">
            <v>6794.38</v>
          </cell>
          <cell r="P15">
            <v>51466.909999999996</v>
          </cell>
          <cell r="Q15">
            <v>6731.6</v>
          </cell>
          <cell r="R15">
            <v>51653.369999999995</v>
          </cell>
          <cell r="S15">
            <v>6453.14</v>
          </cell>
          <cell r="T15">
            <v>51840.509999999995</v>
          </cell>
          <cell r="U15">
            <v>6604.34</v>
          </cell>
          <cell r="V15">
            <v>52028.329999999994</v>
          </cell>
          <cell r="W15">
            <v>6328.950000000001</v>
          </cell>
          <cell r="X15">
            <v>52216.829999999994</v>
          </cell>
          <cell r="Y15">
            <v>6474.88</v>
          </cell>
        </row>
        <row r="16">
          <cell r="B16">
            <v>52406.009999999995</v>
          </cell>
          <cell r="C16">
            <v>6409.35</v>
          </cell>
          <cell r="D16">
            <v>52595.88</v>
          </cell>
          <cell r="E16">
            <v>5933.9800000000005</v>
          </cell>
          <cell r="F16">
            <v>52786.43</v>
          </cell>
          <cell r="G16">
            <v>6276.539999999999</v>
          </cell>
          <cell r="H16">
            <v>52977.68</v>
          </cell>
          <cell r="I16">
            <v>6008.97</v>
          </cell>
          <cell r="J16">
            <v>53169.619999999995</v>
          </cell>
          <cell r="K16">
            <v>6141.46</v>
          </cell>
          <cell r="L16">
            <v>53362.25</v>
          </cell>
          <cell r="M16">
            <v>5877.17</v>
          </cell>
          <cell r="N16">
            <v>53555.579999999994</v>
          </cell>
          <cell r="O16">
            <v>6004.09</v>
          </cell>
          <cell r="P16">
            <v>53749.61</v>
          </cell>
          <cell r="Q16">
            <v>5934.57</v>
          </cell>
          <cell r="R16">
            <v>53944.35</v>
          </cell>
          <cell r="S16">
            <v>5675.26</v>
          </cell>
          <cell r="T16">
            <v>54139.79</v>
          </cell>
          <cell r="U16">
            <v>5793.72</v>
          </cell>
          <cell r="V16">
            <v>54335.939999999995</v>
          </cell>
          <cell r="W16">
            <v>5537.780000000001</v>
          </cell>
          <cell r="X16">
            <v>54532.799999999996</v>
          </cell>
          <cell r="Y16">
            <v>5650.509999999999</v>
          </cell>
        </row>
        <row r="17">
          <cell r="B17">
            <v>54730.369999999995</v>
          </cell>
          <cell r="C17">
            <v>5577.9800000000005</v>
          </cell>
          <cell r="D17">
            <v>54928.659999999996</v>
          </cell>
          <cell r="E17">
            <v>4972.17</v>
          </cell>
          <cell r="F17">
            <v>55127.659999999996</v>
          </cell>
          <cell r="G17">
            <v>5431.179999999999</v>
          </cell>
          <cell r="H17">
            <v>55327.39</v>
          </cell>
          <cell r="I17">
            <v>5184.1</v>
          </cell>
          <cell r="J17">
            <v>55527.84</v>
          </cell>
          <cell r="K17">
            <v>5282.02</v>
          </cell>
          <cell r="L17">
            <v>55729.02</v>
          </cell>
          <cell r="M17">
            <v>5038.540000000001</v>
          </cell>
          <cell r="N17">
            <v>55930.93</v>
          </cell>
          <cell r="O17">
            <v>5130.34</v>
          </cell>
          <cell r="P17">
            <v>56133.56</v>
          </cell>
          <cell r="Q17">
            <v>5053.54</v>
          </cell>
          <cell r="R17">
            <v>56336.939999999995</v>
          </cell>
          <cell r="S17">
            <v>4815.68</v>
          </cell>
          <cell r="T17">
            <v>56541.04</v>
          </cell>
          <cell r="U17">
            <v>4898.129999999999</v>
          </cell>
          <cell r="V17">
            <v>56745.89</v>
          </cell>
          <cell r="W17">
            <v>4664.04</v>
          </cell>
          <cell r="X17">
            <v>56951.479999999996</v>
          </cell>
          <cell r="Y17">
            <v>4740.2699999999995</v>
          </cell>
        </row>
        <row r="18">
          <cell r="B18">
            <v>57157.82</v>
          </cell>
          <cell r="C18">
            <v>4660.3099999999995</v>
          </cell>
          <cell r="D18">
            <v>57364.9</v>
          </cell>
          <cell r="E18">
            <v>4136.56</v>
          </cell>
          <cell r="F18">
            <v>57572.729999999996</v>
          </cell>
          <cell r="G18">
            <v>4498.55</v>
          </cell>
          <cell r="H18">
            <v>57781.32</v>
          </cell>
          <cell r="I18">
            <v>4274.25</v>
          </cell>
          <cell r="J18">
            <v>57990.659999999996</v>
          </cell>
          <cell r="K18">
            <v>4334.18</v>
          </cell>
          <cell r="L18">
            <v>58200.759999999995</v>
          </cell>
          <cell r="M18">
            <v>4113.89</v>
          </cell>
          <cell r="N18">
            <v>58411.619999999995</v>
          </cell>
          <cell r="O18">
            <v>4167.2</v>
          </cell>
          <cell r="P18">
            <v>58623.25</v>
          </cell>
          <cell r="Q18">
            <v>4082.75</v>
          </cell>
          <cell r="R18">
            <v>58835.64</v>
          </cell>
          <cell r="S18">
            <v>3868.6200000000003</v>
          </cell>
          <cell r="T18">
            <v>59048.799999999996</v>
          </cell>
          <cell r="U18">
            <v>3911.77</v>
          </cell>
          <cell r="V18">
            <v>59262.74</v>
          </cell>
          <cell r="W18">
            <v>3701.89</v>
          </cell>
          <cell r="X18">
            <v>59477.439999999995</v>
          </cell>
          <cell r="Y18">
            <v>3738.1000000000004</v>
          </cell>
        </row>
        <row r="19">
          <cell r="B19">
            <v>59692.93</v>
          </cell>
          <cell r="C19">
            <v>3650.28</v>
          </cell>
          <cell r="D19">
            <v>59909.2</v>
          </cell>
          <cell r="E19">
            <v>3217.04</v>
          </cell>
          <cell r="F19">
            <v>60126.25</v>
          </cell>
          <cell r="G19">
            <v>3472.5</v>
          </cell>
          <cell r="H19">
            <v>60344.09</v>
          </cell>
          <cell r="I19">
            <v>3273.49</v>
          </cell>
          <cell r="J19">
            <v>60562.71</v>
          </cell>
          <cell r="K19">
            <v>3291.95</v>
          </cell>
          <cell r="L19">
            <v>60782.13</v>
          </cell>
          <cell r="M19">
            <v>3097.38</v>
          </cell>
          <cell r="N19">
            <v>61002.35</v>
          </cell>
          <cell r="O19">
            <v>3108.6</v>
          </cell>
          <cell r="P19">
            <v>61223.36</v>
          </cell>
          <cell r="Q19">
            <v>3015.9</v>
          </cell>
          <cell r="R19">
            <v>61445.17</v>
          </cell>
          <cell r="S19">
            <v>2828.15</v>
          </cell>
          <cell r="T19">
            <v>61667.71000000001</v>
          </cell>
          <cell r="U19">
            <v>2828.2799999999997</v>
          </cell>
          <cell r="V19">
            <v>61891.21</v>
          </cell>
          <cell r="W19">
            <v>2645.23</v>
          </cell>
          <cell r="X19">
            <v>62115.369999999995</v>
          </cell>
          <cell r="Y19">
            <v>2637.78</v>
          </cell>
        </row>
        <row r="20">
          <cell r="B20">
            <v>62340.479999999996</v>
          </cell>
          <cell r="C20">
            <v>2541.47</v>
          </cell>
          <cell r="D20">
            <v>62566.270000000004</v>
          </cell>
          <cell r="E20">
            <v>2286.6499999999996</v>
          </cell>
          <cell r="F20">
            <v>62793.02</v>
          </cell>
          <cell r="G20">
            <v>2346.59</v>
          </cell>
          <cell r="H20">
            <v>63020.45</v>
          </cell>
          <cell r="I20">
            <v>2175.48</v>
          </cell>
          <cell r="J20">
            <v>63248.84</v>
          </cell>
          <cell r="K20">
            <v>2148.7400000000002</v>
          </cell>
          <cell r="L20">
            <v>63477.92</v>
          </cell>
          <cell r="M20">
            <v>1982.6000000000001</v>
          </cell>
          <cell r="N20">
            <v>63707.979999999996</v>
          </cell>
          <cell r="O20">
            <v>1947.9</v>
          </cell>
          <cell r="P20">
            <v>63938.72</v>
          </cell>
          <cell r="Q20">
            <v>1846.3100000000002</v>
          </cell>
          <cell r="R20">
            <v>64170.439999999995</v>
          </cell>
          <cell r="S20">
            <v>1687.78</v>
          </cell>
          <cell r="T20">
            <v>64402.86</v>
          </cell>
          <cell r="U20">
            <v>1640.98</v>
          </cell>
          <cell r="V20">
            <v>64636.259999999995</v>
          </cell>
          <cell r="W20">
            <v>1487.55</v>
          </cell>
          <cell r="X20">
            <v>64870.36</v>
          </cell>
          <cell r="Y20">
            <v>1432.5</v>
          </cell>
        </row>
        <row r="21">
          <cell r="B21">
            <v>65105.46</v>
          </cell>
          <cell r="C21">
            <v>1327.0600000000002</v>
          </cell>
          <cell r="D21">
            <v>65341.270000000004</v>
          </cell>
          <cell r="E21">
            <v>1102.76</v>
          </cell>
          <cell r="F21">
            <v>65578.07</v>
          </cell>
          <cell r="G21">
            <v>1113.9</v>
          </cell>
          <cell r="H21">
            <v>65815.59</v>
          </cell>
          <cell r="I21">
            <v>973.7</v>
          </cell>
          <cell r="J21">
            <v>66054.11</v>
          </cell>
          <cell r="K21">
            <v>897.6500000000001</v>
          </cell>
          <cell r="L21">
            <v>66293.35</v>
          </cell>
          <cell r="M21">
            <v>762.8399999999999</v>
          </cell>
          <cell r="N21">
            <v>66533.61</v>
          </cell>
          <cell r="O21">
            <v>678.12</v>
          </cell>
          <cell r="P21">
            <v>66774.58</v>
          </cell>
          <cell r="Q21">
            <v>567.11</v>
          </cell>
          <cell r="R21">
            <v>67016.58</v>
          </cell>
          <cell r="S21">
            <v>440.68</v>
          </cell>
          <cell r="T21">
            <v>67259.31</v>
          </cell>
          <cell r="U21">
            <v>342.72</v>
          </cell>
          <cell r="V21">
            <v>67503.06</v>
          </cell>
          <cell r="W21">
            <v>221.9</v>
          </cell>
          <cell r="X21">
            <v>67747.55</v>
          </cell>
          <cell r="Y21">
            <v>115.03999999999999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GENERAL-ALVEAR-Compra-Bienes-Ca"/>
    </sheetNames>
    <sheetDataSet>
      <sheetData sheetId="2">
        <row r="52">
          <cell r="J52">
            <v>18020.82</v>
          </cell>
          <cell r="K52">
            <v>81842.13</v>
          </cell>
          <cell r="M52">
            <v>1720240.0599999991</v>
          </cell>
        </row>
      </sheetData>
      <sheetData sheetId="3">
        <row r="13">
          <cell r="B13">
            <v>83487.16</v>
          </cell>
          <cell r="C13">
            <v>16375.8</v>
          </cell>
          <cell r="D13">
            <v>84322.03</v>
          </cell>
          <cell r="E13">
            <v>15540.92</v>
          </cell>
          <cell r="F13">
            <v>85165.25</v>
          </cell>
          <cell r="G13">
            <v>14697.7</v>
          </cell>
          <cell r="H13">
            <v>86016.9</v>
          </cell>
          <cell r="I13">
            <v>13846.05</v>
          </cell>
          <cell r="J13">
            <v>86877.07</v>
          </cell>
          <cell r="K13">
            <v>12985.88</v>
          </cell>
          <cell r="L13">
            <v>87745.84</v>
          </cell>
          <cell r="M13">
            <v>12117.11</v>
          </cell>
          <cell r="N13">
            <v>88623.3</v>
          </cell>
          <cell r="O13">
            <v>11239.65</v>
          </cell>
          <cell r="P13">
            <v>89509.53</v>
          </cell>
          <cell r="Q13">
            <v>10353.42</v>
          </cell>
          <cell r="R13">
            <v>90404.63</v>
          </cell>
          <cell r="S13">
            <v>9458.32</v>
          </cell>
          <cell r="T13">
            <v>91308.67</v>
          </cell>
          <cell r="U13">
            <v>8554.28</v>
          </cell>
          <cell r="V13">
            <v>92221.76</v>
          </cell>
          <cell r="W13">
            <v>7641.19</v>
          </cell>
          <cell r="X13">
            <v>93143.98</v>
          </cell>
          <cell r="Y13">
            <v>6718.97</v>
          </cell>
        </row>
        <row r="14">
          <cell r="B14">
            <v>94075.42</v>
          </cell>
          <cell r="C14">
            <v>5787.53</v>
          </cell>
          <cell r="D14">
            <v>95016.17</v>
          </cell>
          <cell r="E14">
            <v>4846.78</v>
          </cell>
          <cell r="F14">
            <v>95966.33</v>
          </cell>
          <cell r="G14">
            <v>3896.62</v>
          </cell>
          <cell r="H14">
            <v>96926</v>
          </cell>
          <cell r="I14">
            <v>2936.95</v>
          </cell>
          <cell r="J14">
            <v>97895.26</v>
          </cell>
          <cell r="K14">
            <v>1967.69</v>
          </cell>
          <cell r="L14">
            <v>98874.21</v>
          </cell>
          <cell r="M14">
            <v>988.74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gresos"/>
      <sheetName val="Normas Legales"/>
      <sheetName val="Ingresos Anuales"/>
      <sheetName val="Evolución"/>
      <sheetName val="Flujos Vencimientos"/>
      <sheetName val="Programación Financiera"/>
      <sheetName val="Pagos 2010"/>
      <sheetName val="Stock Estimado"/>
      <sheetName val="LUJAN-Préstamo-Banco-CREDICOOP-"/>
    </sheetNames>
    <sheetDataSet>
      <sheetData sheetId="5">
        <row r="13">
          <cell r="B13">
            <v>37136.39</v>
          </cell>
          <cell r="C13">
            <v>19705.82</v>
          </cell>
          <cell r="D13">
            <v>37618.53</v>
          </cell>
          <cell r="E13">
            <v>19223.68</v>
          </cell>
          <cell r="F13">
            <v>38106.94</v>
          </cell>
          <cell r="G13">
            <v>18735.28</v>
          </cell>
          <cell r="H13">
            <v>38601.68</v>
          </cell>
          <cell r="I13">
            <v>18240.54</v>
          </cell>
          <cell r="J13">
            <v>39102.84</v>
          </cell>
          <cell r="K13">
            <v>17739.37</v>
          </cell>
          <cell r="L13">
            <v>39610.52</v>
          </cell>
          <cell r="M13">
            <v>17231.7</v>
          </cell>
          <cell r="N13">
            <v>40124.78</v>
          </cell>
          <cell r="O13">
            <v>16717.44</v>
          </cell>
          <cell r="P13">
            <v>40645.72</v>
          </cell>
          <cell r="Q13">
            <v>16196.5</v>
          </cell>
          <cell r="R13">
            <v>41173.42</v>
          </cell>
          <cell r="S13">
            <v>15668.79</v>
          </cell>
          <cell r="T13">
            <v>41707.98</v>
          </cell>
          <cell r="U13">
            <v>15134.24</v>
          </cell>
          <cell r="V13">
            <v>42249.47</v>
          </cell>
          <cell r="W13">
            <v>14592.74</v>
          </cell>
          <cell r="X13">
            <v>42798</v>
          </cell>
          <cell r="Y13">
            <v>14044.22</v>
          </cell>
        </row>
        <row r="14">
          <cell r="B14">
            <v>43353.65</v>
          </cell>
          <cell r="C14">
            <v>13488.57</v>
          </cell>
          <cell r="D14">
            <v>43916.51</v>
          </cell>
          <cell r="E14">
            <v>12925.71</v>
          </cell>
          <cell r="F14">
            <v>44486.68</v>
          </cell>
          <cell r="G14">
            <v>12355.54</v>
          </cell>
          <cell r="H14">
            <v>45064.25</v>
          </cell>
          <cell r="I14">
            <v>11777.97</v>
          </cell>
          <cell r="J14">
            <v>45649.32</v>
          </cell>
          <cell r="K14">
            <v>11192.9</v>
          </cell>
          <cell r="L14">
            <v>46241.98</v>
          </cell>
          <cell r="M14">
            <v>10600.23</v>
          </cell>
          <cell r="N14">
            <v>46842.34</v>
          </cell>
          <cell r="O14">
            <v>9999.87</v>
          </cell>
          <cell r="P14">
            <v>47450.49</v>
          </cell>
          <cell r="Q14">
            <v>9391.72</v>
          </cell>
          <cell r="R14">
            <v>48066.55</v>
          </cell>
          <cell r="S14">
            <v>8775.67</v>
          </cell>
          <cell r="T14">
            <v>48690.59</v>
          </cell>
          <cell r="U14">
            <v>8151.62</v>
          </cell>
          <cell r="V14">
            <v>49322.74</v>
          </cell>
          <cell r="W14">
            <v>7519.47</v>
          </cell>
          <cell r="X14">
            <v>49963.1</v>
          </cell>
          <cell r="Y14">
            <v>6879.11</v>
          </cell>
        </row>
        <row r="15">
          <cell r="B15">
            <v>50611.77</v>
          </cell>
          <cell r="C15">
            <v>6230.44</v>
          </cell>
          <cell r="D15">
            <v>51268.87</v>
          </cell>
          <cell r="E15">
            <v>5573.35</v>
          </cell>
          <cell r="F15">
            <v>51934.49</v>
          </cell>
          <cell r="G15">
            <v>4907.73</v>
          </cell>
          <cell r="H15">
            <v>52608.76</v>
          </cell>
          <cell r="I15">
            <v>4233.46</v>
          </cell>
          <cell r="J15">
            <v>53291.78</v>
          </cell>
          <cell r="K15">
            <v>3550.44</v>
          </cell>
          <cell r="L15">
            <v>53983.66</v>
          </cell>
          <cell r="M15">
            <v>2858.55</v>
          </cell>
          <cell r="N15">
            <v>54684.53</v>
          </cell>
          <cell r="O15">
            <v>2157.68</v>
          </cell>
          <cell r="P15">
            <v>55394.51</v>
          </cell>
          <cell r="Q15">
            <v>1447.71</v>
          </cell>
          <cell r="R15">
            <v>56113.69</v>
          </cell>
          <cell r="S15">
            <v>728.52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LUJAN-Compra-Bienes-Capital"/>
    </sheetNames>
    <sheetDataSet>
      <sheetData sheetId="2">
        <row r="52">
          <cell r="J52">
            <v>26046.86</v>
          </cell>
          <cell r="K52">
            <v>118292.64</v>
          </cell>
          <cell r="M52">
            <v>2486393.380000002</v>
          </cell>
        </row>
      </sheetData>
      <sheetData sheetId="3">
        <row r="13">
          <cell r="B13">
            <v>120670.32</v>
          </cell>
          <cell r="C13">
            <v>23669.18</v>
          </cell>
          <cell r="D13">
            <v>121877.02</v>
          </cell>
          <cell r="E13">
            <v>22462.48</v>
          </cell>
          <cell r="F13">
            <v>123095.79</v>
          </cell>
          <cell r="G13">
            <v>21243.7</v>
          </cell>
          <cell r="H13">
            <v>124326.75</v>
          </cell>
          <cell r="I13">
            <v>20012.75</v>
          </cell>
          <cell r="J13">
            <v>125570.02</v>
          </cell>
          <cell r="K13">
            <v>18769.48</v>
          </cell>
          <cell r="L13">
            <v>126825.72</v>
          </cell>
          <cell r="M13">
            <v>17513.78</v>
          </cell>
          <cell r="N13">
            <v>128093.97</v>
          </cell>
          <cell r="O13">
            <v>16245.52</v>
          </cell>
          <cell r="P13">
            <v>129374.91</v>
          </cell>
          <cell r="Q13">
            <v>14964.58</v>
          </cell>
          <cell r="R13">
            <v>130668.66</v>
          </cell>
          <cell r="S13">
            <v>13670.83</v>
          </cell>
          <cell r="T13">
            <v>131975.35</v>
          </cell>
          <cell r="U13">
            <v>12364.15</v>
          </cell>
          <cell r="V13">
            <v>133295.1</v>
          </cell>
          <cell r="W13">
            <v>11044.39</v>
          </cell>
          <cell r="X13">
            <v>134628.05</v>
          </cell>
          <cell r="Y13">
            <v>9711.44</v>
          </cell>
        </row>
        <row r="14">
          <cell r="B14">
            <v>135974.34</v>
          </cell>
          <cell r="C14">
            <v>8365.16</v>
          </cell>
          <cell r="D14">
            <v>137334.08</v>
          </cell>
          <cell r="E14">
            <v>7005.42</v>
          </cell>
          <cell r="F14">
            <v>138707.42</v>
          </cell>
          <cell r="G14">
            <v>5632.08</v>
          </cell>
          <cell r="H14">
            <v>140094.49</v>
          </cell>
          <cell r="I14">
            <v>4245</v>
          </cell>
          <cell r="J14">
            <v>141495.44</v>
          </cell>
          <cell r="K14">
            <v>2844.06</v>
          </cell>
          <cell r="L14">
            <v>142910.39</v>
          </cell>
          <cell r="M14">
            <v>1429.1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stros"/>
      <sheetName val="Consultoría"/>
      <sheetName val="Pav. Urb.2"/>
      <sheetName val="Pav. Urb. 1"/>
      <sheetName val="RESUMEN - Anexo I"/>
      <sheetName val="Evolución en pesos"/>
      <sheetName val="Flujo Vencimientos"/>
      <sheetName val="Evolución en U$S - Anexo II"/>
      <sheetName val="Liquidación"/>
      <sheetName val="Stock estimado"/>
    </sheetNames>
    <sheetDataSet>
      <sheetData sheetId="5">
        <row r="63">
          <cell r="Q63">
            <v>158189.54</v>
          </cell>
        </row>
        <row r="66">
          <cell r="K66">
            <v>5198.84</v>
          </cell>
          <cell r="L66">
            <v>28751.19</v>
          </cell>
          <cell r="N66">
            <v>3133879.1599999988</v>
          </cell>
        </row>
      </sheetData>
      <sheetData sheetId="6">
        <row r="13">
          <cell r="B13">
            <v>142548.4</v>
          </cell>
          <cell r="C13">
            <v>26150.77</v>
          </cell>
          <cell r="D13">
            <v>144388.43</v>
          </cell>
          <cell r="E13">
            <v>23703.440000000002</v>
          </cell>
          <cell r="F13">
            <v>145715.4</v>
          </cell>
          <cell r="G13">
            <v>26236.760000000002</v>
          </cell>
          <cell r="H13">
            <v>146355.04</v>
          </cell>
          <cell r="I13">
            <v>25261.27</v>
          </cell>
          <cell r="J13">
            <v>146997.59</v>
          </cell>
          <cell r="K13">
            <v>25968.21</v>
          </cell>
          <cell r="L13">
            <v>147642.86</v>
          </cell>
          <cell r="M13">
            <v>24998.17</v>
          </cell>
          <cell r="N13">
            <v>148291.06</v>
          </cell>
          <cell r="O13">
            <v>25692.949999999997</v>
          </cell>
          <cell r="P13">
            <v>148942.01</v>
          </cell>
          <cell r="Q13">
            <v>25552.739999999998</v>
          </cell>
          <cell r="R13">
            <v>149595.91</v>
          </cell>
          <cell r="S13">
            <v>24591.09</v>
          </cell>
          <cell r="T13">
            <v>150252.59</v>
          </cell>
          <cell r="U13">
            <v>25267.16</v>
          </cell>
          <cell r="V13">
            <v>150912.25</v>
          </cell>
          <cell r="W13">
            <v>24311.350000000002</v>
          </cell>
          <cell r="X13">
            <v>151574.7</v>
          </cell>
          <cell r="Y13">
            <v>24974.53</v>
          </cell>
        </row>
        <row r="14">
          <cell r="B14">
            <v>152645.93</v>
          </cell>
          <cell r="C14">
            <v>24891.73</v>
          </cell>
          <cell r="D14">
            <v>153724.63</v>
          </cell>
          <cell r="E14">
            <v>22405.879999999997</v>
          </cell>
          <cell r="F14">
            <v>154811.05</v>
          </cell>
          <cell r="G14">
            <v>24718.879999999997</v>
          </cell>
          <cell r="H14">
            <v>155905.05</v>
          </cell>
          <cell r="I14">
            <v>23834.27</v>
          </cell>
          <cell r="J14">
            <v>157006.88</v>
          </cell>
          <cell r="K14">
            <v>24536.08</v>
          </cell>
          <cell r="L14">
            <v>158116.4</v>
          </cell>
          <cell r="M14">
            <v>23652.47</v>
          </cell>
          <cell r="N14">
            <v>159233.86</v>
          </cell>
          <cell r="O14">
            <v>24343.16</v>
          </cell>
          <cell r="P14">
            <v>160359.11</v>
          </cell>
          <cell r="Q14">
            <v>24242.79</v>
          </cell>
          <cell r="R14">
            <v>161492.43</v>
          </cell>
          <cell r="S14">
            <v>23361.120000000003</v>
          </cell>
          <cell r="T14">
            <v>162633.63999999998</v>
          </cell>
          <cell r="U14">
            <v>24034.12</v>
          </cell>
          <cell r="V14">
            <v>163783.02</v>
          </cell>
          <cell r="W14">
            <v>23153.969999999998</v>
          </cell>
          <cell r="X14">
            <v>164940.41999999998</v>
          </cell>
          <cell r="Y14">
            <v>23814.7</v>
          </cell>
        </row>
        <row r="15">
          <cell r="B15">
            <v>165538.06</v>
          </cell>
          <cell r="C15">
            <v>23619.78</v>
          </cell>
          <cell r="D15">
            <v>166137.75</v>
          </cell>
          <cell r="E15">
            <v>21156.41</v>
          </cell>
          <cell r="F15">
            <v>166739.72</v>
          </cell>
          <cell r="G15">
            <v>23224.809999999998</v>
          </cell>
          <cell r="H15">
            <v>167343.75999999998</v>
          </cell>
          <cell r="I15">
            <v>22281.940000000002</v>
          </cell>
          <cell r="J15">
            <v>167950.11000000002</v>
          </cell>
          <cell r="K15">
            <v>22822.800000000003</v>
          </cell>
          <cell r="L15">
            <v>168558.53</v>
          </cell>
          <cell r="M15">
            <v>21889.550000000003</v>
          </cell>
          <cell r="N15">
            <v>169169.28</v>
          </cell>
          <cell r="O15">
            <v>22413.8</v>
          </cell>
          <cell r="P15">
            <v>169782.12</v>
          </cell>
          <cell r="Q15">
            <v>22206.59</v>
          </cell>
          <cell r="R15">
            <v>170397.3</v>
          </cell>
          <cell r="S15">
            <v>21287.99</v>
          </cell>
          <cell r="T15">
            <v>171014.59</v>
          </cell>
          <cell r="U15">
            <v>21786.78</v>
          </cell>
          <cell r="V15">
            <v>171634.23</v>
          </cell>
          <cell r="W15">
            <v>20878.22</v>
          </cell>
          <cell r="X15">
            <v>172256</v>
          </cell>
          <cell r="Y15">
            <v>21359.77</v>
          </cell>
        </row>
        <row r="16">
          <cell r="B16">
            <v>172880.15</v>
          </cell>
          <cell r="C16">
            <v>21143.48</v>
          </cell>
          <cell r="D16">
            <v>173506.43</v>
          </cell>
          <cell r="E16">
            <v>19575.309999999998</v>
          </cell>
          <cell r="F16">
            <v>174135.11000000002</v>
          </cell>
          <cell r="G16">
            <v>20705.350000000002</v>
          </cell>
          <cell r="H16">
            <v>174765.94</v>
          </cell>
          <cell r="I16">
            <v>19822.75</v>
          </cell>
          <cell r="J16">
            <v>175399.17</v>
          </cell>
          <cell r="K16">
            <v>20259.809999999998</v>
          </cell>
          <cell r="L16">
            <v>176034.58</v>
          </cell>
          <cell r="M16">
            <v>19387.93</v>
          </cell>
          <cell r="N16">
            <v>176672.42</v>
          </cell>
          <cell r="O16">
            <v>19806.649999999998</v>
          </cell>
          <cell r="P16">
            <v>177312.44</v>
          </cell>
          <cell r="Q16">
            <v>19577.27</v>
          </cell>
          <cell r="R16">
            <v>177954.91</v>
          </cell>
          <cell r="S16">
            <v>18721.81</v>
          </cell>
          <cell r="T16">
            <v>178599.58</v>
          </cell>
          <cell r="U16">
            <v>19112.6</v>
          </cell>
          <cell r="V16">
            <v>179246.7</v>
          </cell>
          <cell r="W16">
            <v>18268.440000000002</v>
          </cell>
          <cell r="X16">
            <v>179896.05</v>
          </cell>
          <cell r="Y16">
            <v>18640.22</v>
          </cell>
        </row>
        <row r="17">
          <cell r="B17">
            <v>180547.88</v>
          </cell>
          <cell r="C17">
            <v>18401.050000000003</v>
          </cell>
          <cell r="D17">
            <v>181201.94</v>
          </cell>
          <cell r="E17">
            <v>16402.48</v>
          </cell>
          <cell r="F17">
            <v>181858.5</v>
          </cell>
          <cell r="G17">
            <v>17916.78</v>
          </cell>
          <cell r="H17">
            <v>182517.31</v>
          </cell>
          <cell r="I17">
            <v>17101.65</v>
          </cell>
          <cell r="J17">
            <v>183178.63</v>
          </cell>
          <cell r="K17">
            <v>17424.57</v>
          </cell>
          <cell r="L17">
            <v>183842.22</v>
          </cell>
          <cell r="M17">
            <v>16621.34</v>
          </cell>
          <cell r="N17">
            <v>184508.35</v>
          </cell>
          <cell r="O17">
            <v>16924.2</v>
          </cell>
          <cell r="P17">
            <v>185176.75999999998</v>
          </cell>
          <cell r="Q17">
            <v>16670.96</v>
          </cell>
          <cell r="R17">
            <v>185847.72</v>
          </cell>
          <cell r="S17">
            <v>15886.189999999999</v>
          </cell>
          <cell r="T17">
            <v>186520.97999999998</v>
          </cell>
          <cell r="U17">
            <v>16158.349999999999</v>
          </cell>
          <cell r="V17">
            <v>187196.81</v>
          </cell>
          <cell r="W17">
            <v>15386.03</v>
          </cell>
          <cell r="X17">
            <v>187874.96</v>
          </cell>
          <cell r="Y17">
            <v>15637.349999999999</v>
          </cell>
        </row>
        <row r="18">
          <cell r="B18">
            <v>188555.7</v>
          </cell>
          <cell r="C18">
            <v>15373.77</v>
          </cell>
          <cell r="D18">
            <v>189238.77</v>
          </cell>
          <cell r="E18">
            <v>13645.96</v>
          </cell>
          <cell r="F18">
            <v>189924.44</v>
          </cell>
          <cell r="G18">
            <v>14840.11</v>
          </cell>
          <cell r="H18">
            <v>190612.47</v>
          </cell>
          <cell r="I18">
            <v>14100.099999999999</v>
          </cell>
          <cell r="J18">
            <v>191303.13</v>
          </cell>
          <cell r="K18">
            <v>14297.970000000001</v>
          </cell>
          <cell r="L18">
            <v>191996.15</v>
          </cell>
          <cell r="M18">
            <v>13571.27</v>
          </cell>
          <cell r="N18">
            <v>192691.82</v>
          </cell>
          <cell r="O18">
            <v>13747.1</v>
          </cell>
          <cell r="P18">
            <v>193389.88</v>
          </cell>
          <cell r="Q18">
            <v>13468.4</v>
          </cell>
          <cell r="R18">
            <v>194090.6</v>
          </cell>
          <cell r="S18">
            <v>12762.13</v>
          </cell>
          <cell r="T18">
            <v>194793.72</v>
          </cell>
          <cell r="U18">
            <v>12904.44</v>
          </cell>
          <cell r="V18">
            <v>195499.53</v>
          </cell>
          <cell r="W18">
            <v>12211.990000000002</v>
          </cell>
          <cell r="X18">
            <v>196207.75</v>
          </cell>
          <cell r="Y18">
            <v>12331.51</v>
          </cell>
        </row>
        <row r="19">
          <cell r="B19">
            <v>196918.68</v>
          </cell>
          <cell r="C19">
            <v>12041.68</v>
          </cell>
          <cell r="D19">
            <v>197632.05</v>
          </cell>
          <cell r="E19">
            <v>10612.58</v>
          </cell>
          <cell r="F19">
            <v>198348.14</v>
          </cell>
          <cell r="G19">
            <v>11455.289999999999</v>
          </cell>
          <cell r="H19">
            <v>199066.69</v>
          </cell>
          <cell r="I19">
            <v>10798.66</v>
          </cell>
          <cell r="J19">
            <v>199787.97</v>
          </cell>
          <cell r="K19">
            <v>10859.679999999998</v>
          </cell>
          <cell r="L19">
            <v>200511.74</v>
          </cell>
          <cell r="M19">
            <v>10217.869999999999</v>
          </cell>
          <cell r="N19">
            <v>201238.26</v>
          </cell>
          <cell r="O19">
            <v>10254.89</v>
          </cell>
          <cell r="P19">
            <v>201967.28</v>
          </cell>
          <cell r="Q19">
            <v>9948.96</v>
          </cell>
          <cell r="R19">
            <v>202699.07</v>
          </cell>
          <cell r="S19">
            <v>9329.69</v>
          </cell>
          <cell r="T19">
            <v>203433.38</v>
          </cell>
          <cell r="U19">
            <v>9330.099999999999</v>
          </cell>
          <cell r="V19">
            <v>204170.49</v>
          </cell>
          <cell r="W19">
            <v>8726.210000000001</v>
          </cell>
          <cell r="X19">
            <v>204910.13</v>
          </cell>
          <cell r="Y19">
            <v>8701.66</v>
          </cell>
        </row>
        <row r="20">
          <cell r="B20">
            <v>205652.59</v>
          </cell>
          <cell r="C20">
            <v>8383.84</v>
          </cell>
          <cell r="D20">
            <v>206397.6</v>
          </cell>
          <cell r="E20">
            <v>7543.43</v>
          </cell>
          <cell r="F20">
            <v>207145.45</v>
          </cell>
          <cell r="G20">
            <v>7741.01</v>
          </cell>
          <cell r="H20">
            <v>207895.87</v>
          </cell>
          <cell r="I20">
            <v>7176.7</v>
          </cell>
          <cell r="J20">
            <v>208649.07</v>
          </cell>
          <cell r="K20">
            <v>7088.33</v>
          </cell>
          <cell r="L20">
            <v>209405.08000000002</v>
          </cell>
          <cell r="M20">
            <v>6540.3099999999995</v>
          </cell>
          <cell r="N20">
            <v>210163.68</v>
          </cell>
          <cell r="O20">
            <v>6425.85</v>
          </cell>
          <cell r="P20">
            <v>210925.18</v>
          </cell>
          <cell r="Q20">
            <v>6090.83</v>
          </cell>
          <cell r="R20">
            <v>211689.28999999998</v>
          </cell>
          <cell r="S20">
            <v>5567.75</v>
          </cell>
          <cell r="T20">
            <v>212456.31</v>
          </cell>
          <cell r="U20">
            <v>5413.24</v>
          </cell>
          <cell r="V20">
            <v>213225.97</v>
          </cell>
          <cell r="W20">
            <v>4907.11</v>
          </cell>
          <cell r="X20">
            <v>213998.56</v>
          </cell>
          <cell r="Y20">
            <v>4725.56</v>
          </cell>
        </row>
        <row r="21">
          <cell r="B21">
            <v>214773.8</v>
          </cell>
          <cell r="C21">
            <v>4377.84</v>
          </cell>
          <cell r="D21">
            <v>215552</v>
          </cell>
          <cell r="E21">
            <v>3637.84</v>
          </cell>
          <cell r="F21">
            <v>216332.87</v>
          </cell>
          <cell r="G21">
            <v>3674.7200000000003</v>
          </cell>
          <cell r="H21">
            <v>217116.72</v>
          </cell>
          <cell r="I21">
            <v>3212.1400000000003</v>
          </cell>
          <cell r="J21">
            <v>217903.25999999998</v>
          </cell>
          <cell r="K21">
            <v>2961.0899999999997</v>
          </cell>
          <cell r="L21">
            <v>218692.8</v>
          </cell>
          <cell r="M21">
            <v>2516.5</v>
          </cell>
          <cell r="N21">
            <v>219485.03999999998</v>
          </cell>
          <cell r="O21">
            <v>2236.98</v>
          </cell>
          <cell r="P21">
            <v>220280.32</v>
          </cell>
          <cell r="Q21">
            <v>1870.89</v>
          </cell>
          <cell r="R21">
            <v>221078.31</v>
          </cell>
          <cell r="S21">
            <v>1453.6699999999998</v>
          </cell>
          <cell r="T21">
            <v>221879.36000000002</v>
          </cell>
          <cell r="U21">
            <v>1130.65</v>
          </cell>
          <cell r="V21">
            <v>222683.15</v>
          </cell>
          <cell r="W21">
            <v>732.0699999999999</v>
          </cell>
          <cell r="X21">
            <v>223490.01</v>
          </cell>
          <cell r="Y21">
            <v>379.65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vencimientos"/>
      <sheetName val="Flujo para el libro"/>
      <sheetName val="Stock Estimado"/>
      <sheetName val="Para importar"/>
      <sheetName val="LUJÁN-Canje-Entidades-Financier"/>
    </sheetNames>
    <sheetDataSet>
      <sheetData sheetId="2">
        <row r="13">
          <cell r="B13">
            <v>110572.87</v>
          </cell>
          <cell r="C13">
            <v>17217.05</v>
          </cell>
          <cell r="D13">
            <v>112031.94</v>
          </cell>
          <cell r="E13">
            <v>15673.859999999999</v>
          </cell>
          <cell r="F13">
            <v>112946.12</v>
          </cell>
          <cell r="G13">
            <v>17291.690000000002</v>
          </cell>
          <cell r="H13">
            <v>113867.76000000001</v>
          </cell>
          <cell r="I13">
            <v>16684.579999999998</v>
          </cell>
          <cell r="J13">
            <v>114796.91999999998</v>
          </cell>
          <cell r="K13">
            <v>17181.9</v>
          </cell>
          <cell r="L13">
            <v>115733.66</v>
          </cell>
          <cell r="M13">
            <v>16574.35</v>
          </cell>
          <cell r="N13">
            <v>116678.04999999999</v>
          </cell>
          <cell r="O13">
            <v>17063.94</v>
          </cell>
          <cell r="P13">
            <v>117630.13999999998</v>
          </cell>
          <cell r="Q13">
            <v>17001.809999999998</v>
          </cell>
          <cell r="R13">
            <v>118590.01000000001</v>
          </cell>
          <cell r="S13">
            <v>16393.88</v>
          </cell>
          <cell r="T13">
            <v>119557.69999999998</v>
          </cell>
          <cell r="U13">
            <v>16871.140000000003</v>
          </cell>
          <cell r="V13">
            <v>120533.29000000001</v>
          </cell>
          <cell r="W13">
            <v>16263.15</v>
          </cell>
          <cell r="X13">
            <v>121516.84</v>
          </cell>
          <cell r="Y13">
            <v>16731.68</v>
          </cell>
        </row>
        <row r="14">
          <cell r="B14">
            <v>122430.04000000001</v>
          </cell>
          <cell r="C14">
            <v>16647.97</v>
          </cell>
          <cell r="D14">
            <v>201471.8</v>
          </cell>
          <cell r="E14">
            <v>14966.97</v>
          </cell>
          <cell r="F14">
            <v>202985.86</v>
          </cell>
          <cell r="G14">
            <v>16339.62</v>
          </cell>
          <cell r="H14">
            <v>204511.3</v>
          </cell>
          <cell r="I14">
            <v>15595.609999999999</v>
          </cell>
          <cell r="J14">
            <v>206048.2</v>
          </cell>
          <cell r="K14">
            <v>15881.91</v>
          </cell>
          <cell r="L14">
            <v>207596.65</v>
          </cell>
          <cell r="M14">
            <v>15144.16</v>
          </cell>
          <cell r="N14">
            <v>209156.74</v>
          </cell>
          <cell r="O14">
            <v>15406.74</v>
          </cell>
          <cell r="P14">
            <v>210728.55</v>
          </cell>
          <cell r="Q14">
            <v>15162.49</v>
          </cell>
          <cell r="R14">
            <v>212312.18</v>
          </cell>
          <cell r="S14">
            <v>14434.85</v>
          </cell>
          <cell r="T14">
            <v>213907.69999999998</v>
          </cell>
          <cell r="U14">
            <v>14660.37</v>
          </cell>
          <cell r="V14">
            <v>215515.22</v>
          </cell>
          <cell r="W14">
            <v>13939.92</v>
          </cell>
          <cell r="X14">
            <v>217134.82</v>
          </cell>
          <cell r="Y14">
            <v>14139.74</v>
          </cell>
        </row>
        <row r="15">
          <cell r="B15">
            <v>218665.62</v>
          </cell>
          <cell r="C15">
            <v>13865.97</v>
          </cell>
          <cell r="D15">
            <v>220207.21</v>
          </cell>
          <cell r="E15">
            <v>12278.6</v>
          </cell>
          <cell r="F15">
            <v>221759.66999999998</v>
          </cell>
          <cell r="G15">
            <v>13304.76</v>
          </cell>
          <cell r="H15">
            <v>223323.07</v>
          </cell>
          <cell r="I15">
            <v>12599.15</v>
          </cell>
          <cell r="J15">
            <v>224897.5</v>
          </cell>
          <cell r="K15">
            <v>12724.96</v>
          </cell>
          <cell r="L15">
            <v>226483.03</v>
          </cell>
          <cell r="M15">
            <v>12028.82</v>
          </cell>
          <cell r="N15">
            <v>228079.72999999998</v>
          </cell>
          <cell r="O15">
            <v>12126.179999999998</v>
          </cell>
          <cell r="P15">
            <v>229687.69</v>
          </cell>
          <cell r="Q15">
            <v>11819.53</v>
          </cell>
          <cell r="R15">
            <v>231306.99</v>
          </cell>
          <cell r="S15">
            <v>11138.35</v>
          </cell>
          <cell r="T15">
            <v>232937.71</v>
          </cell>
          <cell r="U15">
            <v>11191.460000000001</v>
          </cell>
          <cell r="V15">
            <v>234579.91999999998</v>
          </cell>
          <cell r="W15">
            <v>10520.779999999999</v>
          </cell>
          <cell r="X15">
            <v>236233.69999999998</v>
          </cell>
          <cell r="Y15">
            <v>10543.33</v>
          </cell>
        </row>
        <row r="16">
          <cell r="B16">
            <v>237899.15</v>
          </cell>
          <cell r="C16">
            <v>10211.609999999999</v>
          </cell>
          <cell r="D16">
            <v>239576.34</v>
          </cell>
          <cell r="E16">
            <v>9240.289999999999</v>
          </cell>
          <cell r="F16">
            <v>241265.35</v>
          </cell>
          <cell r="G16">
            <v>9532.550000000001</v>
          </cell>
          <cell r="H16">
            <v>242966.27</v>
          </cell>
          <cell r="I16">
            <v>8890.050000000001</v>
          </cell>
          <cell r="J16">
            <v>244679.18</v>
          </cell>
          <cell r="K16">
            <v>8832.320000000002</v>
          </cell>
          <cell r="L16">
            <v>246404.16999999998</v>
          </cell>
          <cell r="M16">
            <v>8201.890000000001</v>
          </cell>
          <cell r="N16">
            <v>248141.32</v>
          </cell>
          <cell r="O16">
            <v>8110.45</v>
          </cell>
          <cell r="P16">
            <v>249890.71</v>
          </cell>
          <cell r="Q16">
            <v>7741.25</v>
          </cell>
          <cell r="R16">
            <v>251652.44</v>
          </cell>
          <cell r="S16">
            <v>7129.79</v>
          </cell>
          <cell r="T16">
            <v>253426.59</v>
          </cell>
          <cell r="U16">
            <v>6986.009999999999</v>
          </cell>
          <cell r="V16">
            <v>255213.25</v>
          </cell>
          <cell r="W16">
            <v>6387.81</v>
          </cell>
          <cell r="X16">
            <v>257012.5</v>
          </cell>
          <cell r="Y16">
            <v>6207.9400000000005</v>
          </cell>
        </row>
        <row r="17">
          <cell r="B17">
            <v>258824.43999999997</v>
          </cell>
          <cell r="C17">
            <v>5810.17</v>
          </cell>
          <cell r="D17">
            <v>260649.15000000002</v>
          </cell>
          <cell r="E17">
            <v>4885.360000000001</v>
          </cell>
          <cell r="F17">
            <v>262486.72</v>
          </cell>
          <cell r="G17">
            <v>4996.900000000001</v>
          </cell>
          <cell r="H17">
            <v>264337.25</v>
          </cell>
          <cell r="I17">
            <v>4434.05</v>
          </cell>
          <cell r="J17">
            <v>266200.82</v>
          </cell>
          <cell r="K17">
            <v>4159.530000000001</v>
          </cell>
          <cell r="L17">
            <v>268077.54000000004</v>
          </cell>
          <cell r="M17">
            <v>3611.73</v>
          </cell>
          <cell r="N17">
            <v>269967.48</v>
          </cell>
          <cell r="O17">
            <v>3297.53</v>
          </cell>
          <cell r="P17">
            <v>271870.75</v>
          </cell>
          <cell r="Q17">
            <v>2857.1400000000003</v>
          </cell>
          <cell r="R17">
            <v>273787.44</v>
          </cell>
          <cell r="S17">
            <v>2332.9300000000003</v>
          </cell>
          <cell r="T17">
            <v>275717.63</v>
          </cell>
          <cell r="U17">
            <v>1957.2099999999998</v>
          </cell>
          <cell r="V17">
            <v>277661.43</v>
          </cell>
          <cell r="W17">
            <v>1449.4299999999998</v>
          </cell>
          <cell r="X17">
            <v>279618.94</v>
          </cell>
          <cell r="Y17">
            <v>1031.34</v>
          </cell>
        </row>
        <row r="18">
          <cell r="B18">
            <v>327571.1299999658</v>
          </cell>
          <cell r="C18">
            <v>558.49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LAVALLE-Compra-Bienes-Capital"/>
    </sheetNames>
    <sheetDataSet>
      <sheetData sheetId="2">
        <row r="53">
          <cell r="J53">
            <v>8682.29</v>
          </cell>
          <cell r="K53">
            <v>39430.88</v>
          </cell>
          <cell r="M53">
            <v>828797.8100000004</v>
          </cell>
        </row>
      </sheetData>
      <sheetData sheetId="3">
        <row r="13">
          <cell r="B13">
            <v>40223.44</v>
          </cell>
          <cell r="C13">
            <v>7889.73</v>
          </cell>
          <cell r="D13">
            <v>40625.67</v>
          </cell>
          <cell r="E13">
            <v>7487.49</v>
          </cell>
          <cell r="F13">
            <v>41031.93</v>
          </cell>
          <cell r="G13">
            <v>7081.24</v>
          </cell>
          <cell r="H13">
            <v>41442.25</v>
          </cell>
          <cell r="I13">
            <v>6670.92</v>
          </cell>
          <cell r="J13">
            <v>41856.67</v>
          </cell>
          <cell r="K13">
            <v>6256.49</v>
          </cell>
          <cell r="L13">
            <v>42275.24</v>
          </cell>
          <cell r="M13">
            <v>5837.93</v>
          </cell>
          <cell r="N13">
            <v>42697.99</v>
          </cell>
          <cell r="O13">
            <v>5415.17</v>
          </cell>
          <cell r="P13">
            <v>43124.97</v>
          </cell>
          <cell r="Q13">
            <v>4988.19</v>
          </cell>
          <cell r="R13">
            <v>43556.22</v>
          </cell>
          <cell r="S13">
            <v>4556.94</v>
          </cell>
          <cell r="T13">
            <v>43991.79</v>
          </cell>
          <cell r="U13">
            <v>4121.38</v>
          </cell>
          <cell r="V13">
            <v>44431.7</v>
          </cell>
          <cell r="W13">
            <v>3681.46</v>
          </cell>
          <cell r="X13">
            <v>44876.02</v>
          </cell>
          <cell r="Y13">
            <v>3237.15</v>
          </cell>
        </row>
        <row r="14">
          <cell r="B14">
            <v>45324.78</v>
          </cell>
          <cell r="C14">
            <v>2788.39</v>
          </cell>
          <cell r="D14">
            <v>45778.03</v>
          </cell>
          <cell r="E14">
            <v>2335.14</v>
          </cell>
          <cell r="F14">
            <v>46235.81</v>
          </cell>
          <cell r="G14">
            <v>1877.36</v>
          </cell>
          <cell r="H14">
            <v>46698.17</v>
          </cell>
          <cell r="I14">
            <v>1415</v>
          </cell>
          <cell r="J14">
            <v>47165.14</v>
          </cell>
          <cell r="K14">
            <v>948.02</v>
          </cell>
          <cell r="L14">
            <v>47636.8</v>
          </cell>
          <cell r="M14">
            <v>476.37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av Vías de Circ Transp Púb"/>
      <sheetName val="RESUMEN"/>
      <sheetName val="Evolución en U$S"/>
      <sheetName val="Evolución en pesos"/>
      <sheetName val="Flujo de Vencimientos"/>
      <sheetName val="Cuota 31-12-2006"/>
      <sheetName val="Stock Estimado"/>
      <sheetName val="Liquidacion"/>
      <sheetName val="LAS-HERAS-Refinanciación-BID-BI"/>
    </sheetNames>
    <sheetDataSet>
      <sheetData sheetId="3">
        <row r="76">
          <cell r="Q76">
            <v>38038.89</v>
          </cell>
        </row>
        <row r="79">
          <cell r="K79">
            <v>1250.13</v>
          </cell>
          <cell r="L79">
            <v>6913.61</v>
          </cell>
          <cell r="N79">
            <v>753584.0379999984</v>
          </cell>
        </row>
      </sheetData>
      <sheetData sheetId="4">
        <row r="13">
          <cell r="B13">
            <v>34277.68</v>
          </cell>
          <cell r="C13">
            <v>6288.33</v>
          </cell>
          <cell r="D13">
            <v>34720.200000000004</v>
          </cell>
          <cell r="E13">
            <v>5699.820000000001</v>
          </cell>
          <cell r="F13">
            <v>35039.229999999996</v>
          </cell>
          <cell r="G13">
            <v>6308.99</v>
          </cell>
          <cell r="H13">
            <v>35193.1</v>
          </cell>
          <cell r="I13">
            <v>6074.43</v>
          </cell>
          <cell r="J13">
            <v>35347.549999999996</v>
          </cell>
          <cell r="K13">
            <v>6244.400000000001</v>
          </cell>
          <cell r="L13">
            <v>35502.770000000004</v>
          </cell>
          <cell r="M13">
            <v>6011.15</v>
          </cell>
          <cell r="N13">
            <v>35658.58</v>
          </cell>
          <cell r="O13">
            <v>6178.1900000000005</v>
          </cell>
          <cell r="P13">
            <v>35815.17</v>
          </cell>
          <cell r="Q13">
            <v>6144.5</v>
          </cell>
          <cell r="R13">
            <v>35972.35</v>
          </cell>
          <cell r="S13">
            <v>5913.24</v>
          </cell>
          <cell r="T13">
            <v>36130.32</v>
          </cell>
          <cell r="U13">
            <v>6075.8099999999995</v>
          </cell>
          <cell r="V13">
            <v>36288.88</v>
          </cell>
          <cell r="W13">
            <v>5845.97</v>
          </cell>
          <cell r="X13">
            <v>36448.24</v>
          </cell>
          <cell r="Y13">
            <v>6005.490000000001</v>
          </cell>
        </row>
        <row r="14">
          <cell r="B14">
            <v>36705.77</v>
          </cell>
          <cell r="C14">
            <v>5985.54</v>
          </cell>
          <cell r="D14">
            <v>36965.22</v>
          </cell>
          <cell r="E14">
            <v>5387.79</v>
          </cell>
          <cell r="F14">
            <v>37226.4</v>
          </cell>
          <cell r="G14">
            <v>5944.01</v>
          </cell>
          <cell r="H14">
            <v>37489.53</v>
          </cell>
          <cell r="I14">
            <v>5731.27</v>
          </cell>
          <cell r="J14">
            <v>37754.42</v>
          </cell>
          <cell r="K14">
            <v>5900.05</v>
          </cell>
          <cell r="L14">
            <v>38021.28</v>
          </cell>
          <cell r="M14">
            <v>5687.5599999999995</v>
          </cell>
          <cell r="N14">
            <v>38289.92</v>
          </cell>
          <cell r="O14">
            <v>5853.64</v>
          </cell>
          <cell r="P14">
            <v>38560.57</v>
          </cell>
          <cell r="Q14">
            <v>5829.530000000001</v>
          </cell>
          <cell r="R14">
            <v>38833.02</v>
          </cell>
          <cell r="S14">
            <v>5617.509999999999</v>
          </cell>
          <cell r="T14">
            <v>39107.51</v>
          </cell>
          <cell r="U14">
            <v>5779.34</v>
          </cell>
          <cell r="V14">
            <v>39383.83</v>
          </cell>
          <cell r="W14">
            <v>5567.71</v>
          </cell>
          <cell r="X14">
            <v>39662.21</v>
          </cell>
          <cell r="Y14">
            <v>5726.55</v>
          </cell>
        </row>
        <row r="15">
          <cell r="B15">
            <v>39805.85</v>
          </cell>
          <cell r="C15">
            <v>5679.71</v>
          </cell>
          <cell r="D15">
            <v>39950.130000000005</v>
          </cell>
          <cell r="E15">
            <v>5087.36</v>
          </cell>
          <cell r="F15">
            <v>40094.81</v>
          </cell>
          <cell r="G15">
            <v>5584.709999999999</v>
          </cell>
          <cell r="H15">
            <v>40240.130000000005</v>
          </cell>
          <cell r="I15">
            <v>5357.9800000000005</v>
          </cell>
          <cell r="J15">
            <v>40385.86</v>
          </cell>
          <cell r="K15">
            <v>5488.03</v>
          </cell>
          <cell r="L15">
            <v>40532.240000000005</v>
          </cell>
          <cell r="M15">
            <v>5263.62</v>
          </cell>
          <cell r="N15">
            <v>40679.03</v>
          </cell>
          <cell r="O15">
            <v>5389.72</v>
          </cell>
          <cell r="P15">
            <v>40826.46</v>
          </cell>
          <cell r="Q15">
            <v>5339.860000000001</v>
          </cell>
          <cell r="R15">
            <v>40974.32</v>
          </cell>
          <cell r="S15">
            <v>5119</v>
          </cell>
          <cell r="T15">
            <v>41122.83</v>
          </cell>
          <cell r="U15">
            <v>5238.96</v>
          </cell>
          <cell r="V15">
            <v>41271.76</v>
          </cell>
          <cell r="W15">
            <v>5020.47</v>
          </cell>
          <cell r="X15">
            <v>41421.350000000006</v>
          </cell>
          <cell r="Y15">
            <v>5136.25</v>
          </cell>
        </row>
        <row r="16">
          <cell r="B16">
            <v>41571.35</v>
          </cell>
          <cell r="C16">
            <v>5084.21</v>
          </cell>
          <cell r="D16">
            <v>41722.030000000006</v>
          </cell>
          <cell r="E16">
            <v>4707.17</v>
          </cell>
          <cell r="F16">
            <v>41873.13</v>
          </cell>
          <cell r="G16">
            <v>4978.91</v>
          </cell>
          <cell r="H16">
            <v>42024.89</v>
          </cell>
          <cell r="I16">
            <v>4766.63</v>
          </cell>
          <cell r="J16">
            <v>42177.090000000004</v>
          </cell>
          <cell r="K16">
            <v>4871.75</v>
          </cell>
          <cell r="L16">
            <v>42329.96</v>
          </cell>
          <cell r="M16">
            <v>4662.0599999999995</v>
          </cell>
          <cell r="N16">
            <v>42483.26</v>
          </cell>
          <cell r="O16">
            <v>4762.77</v>
          </cell>
          <cell r="P16">
            <v>42637.240000000005</v>
          </cell>
          <cell r="Q16">
            <v>4707.62</v>
          </cell>
          <cell r="R16">
            <v>42791.65</v>
          </cell>
          <cell r="S16">
            <v>4501.92</v>
          </cell>
          <cell r="T16">
            <v>42946.740000000005</v>
          </cell>
          <cell r="U16">
            <v>4595.88</v>
          </cell>
          <cell r="V16">
            <v>43102.28</v>
          </cell>
          <cell r="W16">
            <v>4392.89</v>
          </cell>
          <cell r="X16">
            <v>43258.5</v>
          </cell>
          <cell r="Y16">
            <v>4482.26</v>
          </cell>
        </row>
        <row r="17">
          <cell r="B17">
            <v>43415.16</v>
          </cell>
          <cell r="C17">
            <v>4424.78</v>
          </cell>
          <cell r="D17">
            <v>43572.520000000004</v>
          </cell>
          <cell r="E17">
            <v>3944.1800000000003</v>
          </cell>
          <cell r="F17">
            <v>43730.32</v>
          </cell>
          <cell r="G17">
            <v>4308.32</v>
          </cell>
          <cell r="H17">
            <v>43888.82</v>
          </cell>
          <cell r="I17">
            <v>4112.34</v>
          </cell>
          <cell r="J17">
            <v>44047.76</v>
          </cell>
          <cell r="K17">
            <v>4190</v>
          </cell>
          <cell r="L17">
            <v>44207.41</v>
          </cell>
          <cell r="M17">
            <v>3996.8500000000004</v>
          </cell>
          <cell r="N17">
            <v>44367.51</v>
          </cell>
          <cell r="O17">
            <v>4069.6700000000005</v>
          </cell>
          <cell r="P17">
            <v>44528.32</v>
          </cell>
          <cell r="Q17">
            <v>4008.7399999999993</v>
          </cell>
          <cell r="R17">
            <v>44689.58</v>
          </cell>
          <cell r="S17">
            <v>3820.0299999999997</v>
          </cell>
          <cell r="T17">
            <v>44851.560000000005</v>
          </cell>
          <cell r="U17">
            <v>3885.5099999999998</v>
          </cell>
          <cell r="V17">
            <v>45013.99</v>
          </cell>
          <cell r="W17">
            <v>3699.7700000000004</v>
          </cell>
          <cell r="X17">
            <v>45177.14</v>
          </cell>
          <cell r="Y17">
            <v>3760.2200000000003</v>
          </cell>
        </row>
        <row r="18">
          <cell r="B18">
            <v>45340.75</v>
          </cell>
          <cell r="C18">
            <v>3696.8500000000004</v>
          </cell>
          <cell r="D18">
            <v>45505.090000000004</v>
          </cell>
          <cell r="E18">
            <v>3281.36</v>
          </cell>
          <cell r="F18">
            <v>45669.89</v>
          </cell>
          <cell r="G18">
            <v>3568.52</v>
          </cell>
          <cell r="H18">
            <v>45835.41</v>
          </cell>
          <cell r="I18">
            <v>3390.57</v>
          </cell>
          <cell r="J18">
            <v>46001.41</v>
          </cell>
          <cell r="K18">
            <v>3438.12</v>
          </cell>
          <cell r="L18">
            <v>46168.14</v>
          </cell>
          <cell r="M18">
            <v>3263.4</v>
          </cell>
          <cell r="N18">
            <v>46335.340000000004</v>
          </cell>
          <cell r="O18">
            <v>3305.65</v>
          </cell>
          <cell r="P18">
            <v>46503.280000000006</v>
          </cell>
          <cell r="Q18">
            <v>3238.66</v>
          </cell>
          <cell r="R18">
            <v>46671.69</v>
          </cell>
          <cell r="S18">
            <v>3068.8</v>
          </cell>
          <cell r="T18">
            <v>46840.850000000006</v>
          </cell>
          <cell r="U18">
            <v>3103.02</v>
          </cell>
          <cell r="V18">
            <v>47010.49</v>
          </cell>
          <cell r="W18">
            <v>2936.52</v>
          </cell>
          <cell r="X18">
            <v>47180.880000000005</v>
          </cell>
          <cell r="Y18">
            <v>2965.31</v>
          </cell>
        </row>
        <row r="19">
          <cell r="B19">
            <v>47351.74</v>
          </cell>
          <cell r="C19">
            <v>2895.58</v>
          </cell>
          <cell r="D19">
            <v>47523.37</v>
          </cell>
          <cell r="E19">
            <v>2551.93</v>
          </cell>
          <cell r="F19">
            <v>47695.48</v>
          </cell>
          <cell r="G19">
            <v>2754.54</v>
          </cell>
          <cell r="H19">
            <v>47868.350000000006</v>
          </cell>
          <cell r="I19">
            <v>2596.69</v>
          </cell>
          <cell r="J19">
            <v>48041.7</v>
          </cell>
          <cell r="K19">
            <v>2611.38</v>
          </cell>
          <cell r="L19">
            <v>48215.83</v>
          </cell>
          <cell r="M19">
            <v>2457.02</v>
          </cell>
          <cell r="N19">
            <v>48390.44</v>
          </cell>
          <cell r="O19">
            <v>2465.92</v>
          </cell>
          <cell r="P19">
            <v>48565.83</v>
          </cell>
          <cell r="Q19">
            <v>2392.3900000000003</v>
          </cell>
          <cell r="R19">
            <v>48741.72</v>
          </cell>
          <cell r="S19">
            <v>2243.49</v>
          </cell>
          <cell r="T19">
            <v>48918.380000000005</v>
          </cell>
          <cell r="U19">
            <v>2243.55</v>
          </cell>
          <cell r="V19">
            <v>49095.54</v>
          </cell>
          <cell r="W19">
            <v>2098.3599999999997</v>
          </cell>
          <cell r="X19">
            <v>49273.48</v>
          </cell>
          <cell r="Y19">
            <v>2092.42</v>
          </cell>
        </row>
        <row r="20">
          <cell r="B20">
            <v>49451.93</v>
          </cell>
          <cell r="C20">
            <v>2016.0300000000002</v>
          </cell>
          <cell r="D20">
            <v>49631.170000000006</v>
          </cell>
          <cell r="E20">
            <v>1813.93</v>
          </cell>
          <cell r="F20">
            <v>49810.91</v>
          </cell>
          <cell r="G20">
            <v>1861.42</v>
          </cell>
          <cell r="H20">
            <v>49991.44</v>
          </cell>
          <cell r="I20">
            <v>1725.72</v>
          </cell>
          <cell r="J20">
            <v>50172.49</v>
          </cell>
          <cell r="K20">
            <v>1704.4699999999998</v>
          </cell>
          <cell r="L20">
            <v>50354.340000000004</v>
          </cell>
          <cell r="M20">
            <v>1572.69</v>
          </cell>
          <cell r="N20">
            <v>50536.7</v>
          </cell>
          <cell r="O20">
            <v>1545.21</v>
          </cell>
          <cell r="P20">
            <v>50719.87</v>
          </cell>
          <cell r="Q20">
            <v>1464.6</v>
          </cell>
          <cell r="R20">
            <v>50903.55</v>
          </cell>
          <cell r="S20">
            <v>1338.85</v>
          </cell>
          <cell r="T20">
            <v>51088.05</v>
          </cell>
          <cell r="U20">
            <v>1301.73</v>
          </cell>
          <cell r="V20">
            <v>51273.07</v>
          </cell>
          <cell r="W20">
            <v>1180</v>
          </cell>
          <cell r="X20">
            <v>51458.9</v>
          </cell>
          <cell r="Y20">
            <v>1136.34</v>
          </cell>
        </row>
        <row r="21">
          <cell r="B21">
            <v>51645.26</v>
          </cell>
          <cell r="C21">
            <v>1052.68</v>
          </cell>
          <cell r="D21">
            <v>51832.450000000004</v>
          </cell>
          <cell r="E21">
            <v>874.77</v>
          </cell>
          <cell r="F21">
            <v>52020.16</v>
          </cell>
          <cell r="G21">
            <v>883.6600000000001</v>
          </cell>
          <cell r="H21">
            <v>52208.71</v>
          </cell>
          <cell r="I21">
            <v>772.37</v>
          </cell>
          <cell r="J21">
            <v>52397.78</v>
          </cell>
          <cell r="K21">
            <v>712.0400000000001</v>
          </cell>
          <cell r="L21">
            <v>52587.700000000004</v>
          </cell>
          <cell r="M21">
            <v>605.0899999999999</v>
          </cell>
          <cell r="N21">
            <v>52778.15</v>
          </cell>
          <cell r="O21">
            <v>537.89</v>
          </cell>
          <cell r="P21">
            <v>52969.44</v>
          </cell>
          <cell r="Q21">
            <v>449.89</v>
          </cell>
          <cell r="R21">
            <v>53161.270000000004</v>
          </cell>
          <cell r="S21">
            <v>349.56</v>
          </cell>
          <cell r="T21">
            <v>53353.950000000004</v>
          </cell>
          <cell r="U21">
            <v>271.88</v>
          </cell>
          <cell r="V21">
            <v>53547.17</v>
          </cell>
          <cell r="W21">
            <v>176.04999999999998</v>
          </cell>
          <cell r="X21">
            <v>53741.25</v>
          </cell>
          <cell r="Y21">
            <v>91.25999999999999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LAS-HERAS-Compra-Bienes-Capital"/>
    </sheetNames>
    <sheetDataSet>
      <sheetData sheetId="2">
        <row r="60">
          <cell r="J60">
            <v>26304.69</v>
          </cell>
          <cell r="K60">
            <v>119463.57</v>
          </cell>
          <cell r="M60">
            <v>2511005.16</v>
          </cell>
        </row>
      </sheetData>
      <sheetData sheetId="3">
        <row r="13">
          <cell r="B13">
            <v>121864.78</v>
          </cell>
          <cell r="C13">
            <v>23903.47</v>
          </cell>
          <cell r="D13">
            <v>123083.43</v>
          </cell>
          <cell r="E13">
            <v>22684.82</v>
          </cell>
          <cell r="F13">
            <v>124314.27</v>
          </cell>
          <cell r="G13">
            <v>21453.99</v>
          </cell>
          <cell r="H13">
            <v>125557.41</v>
          </cell>
          <cell r="I13">
            <v>20210.84</v>
          </cell>
          <cell r="J13">
            <v>126812.98</v>
          </cell>
          <cell r="K13">
            <v>18955.27</v>
          </cell>
          <cell r="L13">
            <v>128081.11</v>
          </cell>
          <cell r="M13">
            <v>17687.14</v>
          </cell>
          <cell r="N13">
            <v>129361.92</v>
          </cell>
          <cell r="O13">
            <v>16406.33</v>
          </cell>
          <cell r="P13">
            <v>130655.54</v>
          </cell>
          <cell r="Q13">
            <v>15112.71</v>
          </cell>
          <cell r="R13">
            <v>131962.1</v>
          </cell>
          <cell r="S13">
            <v>13806.16</v>
          </cell>
          <cell r="T13">
            <v>133281.72</v>
          </cell>
          <cell r="U13">
            <v>12486.53</v>
          </cell>
          <cell r="V13">
            <v>134614.54</v>
          </cell>
          <cell r="W13">
            <v>11153.72</v>
          </cell>
          <cell r="X13">
            <v>135960.68</v>
          </cell>
          <cell r="Y13">
            <v>9807.57</v>
          </cell>
        </row>
        <row r="14">
          <cell r="B14">
            <v>137320.29</v>
          </cell>
          <cell r="C14">
            <v>8447.96</v>
          </cell>
          <cell r="D14">
            <v>138693.49</v>
          </cell>
          <cell r="E14">
            <v>7074.76</v>
          </cell>
          <cell r="F14">
            <v>140080.43</v>
          </cell>
          <cell r="G14">
            <v>5687.83</v>
          </cell>
          <cell r="H14">
            <v>141481.23</v>
          </cell>
          <cell r="I14">
            <v>4287.02</v>
          </cell>
          <cell r="J14">
            <v>142896.04</v>
          </cell>
          <cell r="K14">
            <v>2872.21</v>
          </cell>
          <cell r="L14">
            <v>144325</v>
          </cell>
          <cell r="M14">
            <v>1443.25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atastros"/>
      <sheetName val="Compra Eq"/>
      <sheetName val="Anexo I - RESUMEN"/>
      <sheetName val="Evolución en pesos"/>
      <sheetName val="Flujo de Vencimiento"/>
      <sheetName val="Stock estimado"/>
      <sheetName val="Anexo II - Evolución en U$S"/>
      <sheetName val="Liquidación"/>
      <sheetName val="LA-PAZ-Refinanciación-BID-BIRF-"/>
    </sheetNames>
    <sheetDataSet>
      <sheetData sheetId="3">
        <row r="63">
          <cell r="Q63">
            <v>10254.21</v>
          </cell>
        </row>
        <row r="66">
          <cell r="K66">
            <v>337</v>
          </cell>
          <cell r="L66">
            <v>1863.73</v>
          </cell>
          <cell r="N66">
            <v>203146.0200000003</v>
          </cell>
        </row>
      </sheetData>
      <sheetData sheetId="4">
        <row r="13">
          <cell r="B13">
            <v>9240.37</v>
          </cell>
          <cell r="C13">
            <v>1695.1399999999999</v>
          </cell>
          <cell r="D13">
            <v>9359.6</v>
          </cell>
          <cell r="E13">
            <v>1536.53</v>
          </cell>
          <cell r="F13">
            <v>9445.67</v>
          </cell>
          <cell r="G13">
            <v>1700.72</v>
          </cell>
          <cell r="H13">
            <v>9487.08</v>
          </cell>
          <cell r="I13">
            <v>1637.48</v>
          </cell>
          <cell r="J13">
            <v>9528.78</v>
          </cell>
          <cell r="K13">
            <v>1683.32</v>
          </cell>
          <cell r="L13">
            <v>9570.56</v>
          </cell>
          <cell r="M13">
            <v>1620.46</v>
          </cell>
          <cell r="N13">
            <v>9612.63</v>
          </cell>
          <cell r="O13">
            <v>1665.48</v>
          </cell>
          <cell r="P13">
            <v>9654.78</v>
          </cell>
          <cell r="Q13">
            <v>1656.3700000000001</v>
          </cell>
          <cell r="R13">
            <v>9697.21</v>
          </cell>
          <cell r="S13">
            <v>1594.08</v>
          </cell>
          <cell r="T13">
            <v>9739.73</v>
          </cell>
          <cell r="U13">
            <v>1637.8700000000001</v>
          </cell>
          <cell r="V13">
            <v>9782.54</v>
          </cell>
          <cell r="W13">
            <v>1575.93</v>
          </cell>
          <cell r="X13">
            <v>9825.43</v>
          </cell>
          <cell r="Y13">
            <v>1618.9099999999999</v>
          </cell>
        </row>
        <row r="14">
          <cell r="B14">
            <v>9894.92</v>
          </cell>
          <cell r="C14">
            <v>1613.52</v>
          </cell>
          <cell r="D14">
            <v>9964.8</v>
          </cell>
          <cell r="E14">
            <v>1452.38</v>
          </cell>
          <cell r="F14">
            <v>10035.27</v>
          </cell>
          <cell r="G14">
            <v>1602.32</v>
          </cell>
          <cell r="H14">
            <v>10106.14</v>
          </cell>
          <cell r="I14">
            <v>1545</v>
          </cell>
          <cell r="J14">
            <v>10177.609999999999</v>
          </cell>
          <cell r="K14">
            <v>1590.48</v>
          </cell>
          <cell r="L14">
            <v>10249.48</v>
          </cell>
          <cell r="M14">
            <v>1533.2</v>
          </cell>
          <cell r="N14">
            <v>10321.97</v>
          </cell>
          <cell r="O14">
            <v>1577.98</v>
          </cell>
          <cell r="P14">
            <v>10394.859999999999</v>
          </cell>
          <cell r="Q14">
            <v>1571.45</v>
          </cell>
          <cell r="R14">
            <v>10468.38</v>
          </cell>
          <cell r="S14">
            <v>1514.31</v>
          </cell>
          <cell r="T14">
            <v>10542.3</v>
          </cell>
          <cell r="U14">
            <v>1557.94</v>
          </cell>
          <cell r="V14">
            <v>10616.859999999999</v>
          </cell>
          <cell r="W14">
            <v>1500.8700000000001</v>
          </cell>
          <cell r="X14">
            <v>10691.83</v>
          </cell>
          <cell r="Y14">
            <v>1543.72</v>
          </cell>
        </row>
        <row r="15">
          <cell r="B15">
            <v>10730.63</v>
          </cell>
          <cell r="C15">
            <v>1531.1200000000001</v>
          </cell>
          <cell r="D15">
            <v>10769.439999999999</v>
          </cell>
          <cell r="E15">
            <v>1371.3999999999999</v>
          </cell>
          <cell r="F15">
            <v>10808.52</v>
          </cell>
          <cell r="G15">
            <v>1505.47</v>
          </cell>
          <cell r="H15">
            <v>10847.619999999999</v>
          </cell>
          <cell r="I15">
            <v>1444.39</v>
          </cell>
          <cell r="J15">
            <v>10886.98</v>
          </cell>
          <cell r="K15">
            <v>1479.42</v>
          </cell>
          <cell r="L15">
            <v>10926.369999999999</v>
          </cell>
          <cell r="M15">
            <v>1418.94</v>
          </cell>
          <cell r="N15">
            <v>10966.01</v>
          </cell>
          <cell r="O15">
            <v>1452.91</v>
          </cell>
          <cell r="P15">
            <v>11005.679999999998</v>
          </cell>
          <cell r="Q15">
            <v>1439.52</v>
          </cell>
          <cell r="R15">
            <v>11045.609999999999</v>
          </cell>
          <cell r="S15">
            <v>1379.9499999999998</v>
          </cell>
          <cell r="T15">
            <v>11085.57</v>
          </cell>
          <cell r="U15">
            <v>1412.25</v>
          </cell>
          <cell r="V15">
            <v>11125.8</v>
          </cell>
          <cell r="W15">
            <v>1353.38</v>
          </cell>
          <cell r="X15">
            <v>11166.039999999999</v>
          </cell>
          <cell r="Y15">
            <v>1384.58</v>
          </cell>
        </row>
        <row r="16">
          <cell r="B16">
            <v>11206.56</v>
          </cell>
          <cell r="C16">
            <v>1370.6000000000001</v>
          </cell>
          <cell r="D16">
            <v>11247.099999999999</v>
          </cell>
          <cell r="E16">
            <v>1268.93</v>
          </cell>
          <cell r="F16">
            <v>11287.91</v>
          </cell>
          <cell r="G16">
            <v>1342.1499999999999</v>
          </cell>
          <cell r="H16">
            <v>11328.74</v>
          </cell>
          <cell r="I16">
            <v>1284.9499999999998</v>
          </cell>
          <cell r="J16">
            <v>11369.85</v>
          </cell>
          <cell r="K16">
            <v>1313.27</v>
          </cell>
          <cell r="L16">
            <v>11410.98</v>
          </cell>
          <cell r="M16">
            <v>1256.8</v>
          </cell>
          <cell r="N16">
            <v>11452.38</v>
          </cell>
          <cell r="O16">
            <v>1283.91</v>
          </cell>
          <cell r="P16">
            <v>11493.82</v>
          </cell>
          <cell r="Q16">
            <v>1269.07</v>
          </cell>
          <cell r="R16">
            <v>11535.52</v>
          </cell>
          <cell r="S16">
            <v>1213.57</v>
          </cell>
          <cell r="T16">
            <v>11577.25</v>
          </cell>
          <cell r="U16">
            <v>1238.9</v>
          </cell>
          <cell r="V16">
            <v>11619.26</v>
          </cell>
          <cell r="W16">
            <v>1184.23</v>
          </cell>
          <cell r="X16">
            <v>11661.289999999999</v>
          </cell>
          <cell r="Y16">
            <v>1208.29</v>
          </cell>
        </row>
        <row r="17">
          <cell r="B17">
            <v>11703.6</v>
          </cell>
          <cell r="C17">
            <v>1192.82</v>
          </cell>
          <cell r="D17">
            <v>11745.939999999999</v>
          </cell>
          <cell r="E17">
            <v>1063.28</v>
          </cell>
          <cell r="F17">
            <v>11788.56</v>
          </cell>
          <cell r="G17">
            <v>1161.44</v>
          </cell>
          <cell r="H17">
            <v>11831.21</v>
          </cell>
          <cell r="I17">
            <v>1108.58</v>
          </cell>
          <cell r="J17">
            <v>11874.14</v>
          </cell>
          <cell r="K17">
            <v>1129.48</v>
          </cell>
          <cell r="L17">
            <v>11917.09</v>
          </cell>
          <cell r="M17">
            <v>1077.4299999999998</v>
          </cell>
          <cell r="N17">
            <v>11960.33</v>
          </cell>
          <cell r="O17">
            <v>1097.06</v>
          </cell>
          <cell r="P17">
            <v>12003.599999999999</v>
          </cell>
          <cell r="Q17">
            <v>1080.68</v>
          </cell>
          <cell r="R17">
            <v>12047.15</v>
          </cell>
          <cell r="S17">
            <v>1029.78</v>
          </cell>
          <cell r="T17">
            <v>12090.73</v>
          </cell>
          <cell r="U17">
            <v>1047.39</v>
          </cell>
          <cell r="V17">
            <v>12134.6</v>
          </cell>
          <cell r="W17">
            <v>997.3399999999999</v>
          </cell>
          <cell r="X17">
            <v>12178.5</v>
          </cell>
          <cell r="Y17">
            <v>1013.63</v>
          </cell>
        </row>
        <row r="18">
          <cell r="B18">
            <v>12222.689999999999</v>
          </cell>
          <cell r="C18">
            <v>996.58</v>
          </cell>
          <cell r="D18">
            <v>12266.91</v>
          </cell>
          <cell r="E18">
            <v>884.55</v>
          </cell>
          <cell r="F18">
            <v>12311.42</v>
          </cell>
          <cell r="G18">
            <v>962</v>
          </cell>
          <cell r="H18">
            <v>12355.949999999999</v>
          </cell>
          <cell r="I18">
            <v>913.97</v>
          </cell>
          <cell r="J18">
            <v>12400.789999999999</v>
          </cell>
          <cell r="K18">
            <v>926.8</v>
          </cell>
          <cell r="L18">
            <v>12445.65</v>
          </cell>
          <cell r="M18">
            <v>879.74</v>
          </cell>
          <cell r="N18">
            <v>12490.81</v>
          </cell>
          <cell r="O18">
            <v>891.1</v>
          </cell>
          <cell r="P18">
            <v>12535.99</v>
          </cell>
          <cell r="Q18">
            <v>873.0799999999999</v>
          </cell>
          <cell r="R18">
            <v>12581.48</v>
          </cell>
          <cell r="S18">
            <v>827.3</v>
          </cell>
          <cell r="T18">
            <v>12626.99</v>
          </cell>
          <cell r="U18">
            <v>836.53</v>
          </cell>
          <cell r="V18">
            <v>12672.81</v>
          </cell>
          <cell r="W18">
            <v>791.62</v>
          </cell>
          <cell r="X18">
            <v>12718.65</v>
          </cell>
          <cell r="Y18">
            <v>799.33</v>
          </cell>
        </row>
        <row r="19">
          <cell r="B19">
            <v>12764.8</v>
          </cell>
          <cell r="C19">
            <v>780.59</v>
          </cell>
          <cell r="D19">
            <v>12810.98</v>
          </cell>
          <cell r="E19">
            <v>687.94</v>
          </cell>
          <cell r="F19">
            <v>12857.46</v>
          </cell>
          <cell r="G19">
            <v>742.58</v>
          </cell>
          <cell r="H19">
            <v>12903.98</v>
          </cell>
          <cell r="I19">
            <v>699.99</v>
          </cell>
          <cell r="J19">
            <v>12950.8</v>
          </cell>
          <cell r="K19">
            <v>703.92</v>
          </cell>
          <cell r="L19">
            <v>12997.65</v>
          </cell>
          <cell r="M19">
            <v>662.32</v>
          </cell>
          <cell r="N19">
            <v>13044.81</v>
          </cell>
          <cell r="O19">
            <v>664.72</v>
          </cell>
          <cell r="P19">
            <v>13092</v>
          </cell>
          <cell r="Q19">
            <v>644.9300000000001</v>
          </cell>
          <cell r="R19">
            <v>13139.5</v>
          </cell>
          <cell r="S19">
            <v>604.76</v>
          </cell>
          <cell r="T19">
            <v>13187.039999999999</v>
          </cell>
          <cell r="U19">
            <v>604.83</v>
          </cell>
          <cell r="V19">
            <v>13234.88</v>
          </cell>
          <cell r="W19">
            <v>565.6899999999999</v>
          </cell>
          <cell r="X19">
            <v>13282.76</v>
          </cell>
          <cell r="Y19">
            <v>564.03</v>
          </cell>
        </row>
        <row r="20">
          <cell r="B20">
            <v>13330.96</v>
          </cell>
          <cell r="C20">
            <v>543.47</v>
          </cell>
          <cell r="D20">
            <v>13379.179999999998</v>
          </cell>
          <cell r="E20">
            <v>489.02</v>
          </cell>
          <cell r="F20">
            <v>13427.73</v>
          </cell>
          <cell r="G20">
            <v>501.8100000000001</v>
          </cell>
          <cell r="H20">
            <v>13476.31</v>
          </cell>
          <cell r="I20">
            <v>465.23</v>
          </cell>
          <cell r="J20">
            <v>13525.199999999999</v>
          </cell>
          <cell r="K20">
            <v>459.52</v>
          </cell>
          <cell r="L20">
            <v>13574.13</v>
          </cell>
          <cell r="M20">
            <v>423.96</v>
          </cell>
          <cell r="N20">
            <v>13623.38</v>
          </cell>
          <cell r="O20">
            <v>416.51</v>
          </cell>
          <cell r="P20">
            <v>13672.67</v>
          </cell>
          <cell r="Q20">
            <v>394.84</v>
          </cell>
          <cell r="R20">
            <v>13722.279999999999</v>
          </cell>
          <cell r="S20">
            <v>360.91999999999996</v>
          </cell>
          <cell r="T20">
            <v>13771.92</v>
          </cell>
          <cell r="U20">
            <v>350.93</v>
          </cell>
          <cell r="V20">
            <v>13821.89</v>
          </cell>
          <cell r="W20">
            <v>318.08</v>
          </cell>
          <cell r="X20">
            <v>13871.89</v>
          </cell>
          <cell r="Y20">
            <v>306.36</v>
          </cell>
        </row>
        <row r="21">
          <cell r="B21">
            <v>13922.22</v>
          </cell>
          <cell r="C21">
            <v>283.79</v>
          </cell>
          <cell r="D21">
            <v>13972.59</v>
          </cell>
          <cell r="E21">
            <v>235.79</v>
          </cell>
          <cell r="F21">
            <v>14023.289999999999</v>
          </cell>
          <cell r="G21">
            <v>238.22</v>
          </cell>
          <cell r="H21">
            <v>14074.019999999999</v>
          </cell>
          <cell r="I21">
            <v>208.2</v>
          </cell>
          <cell r="J21">
            <v>14125.08</v>
          </cell>
          <cell r="K21">
            <v>191.96999999999997</v>
          </cell>
          <cell r="L21">
            <v>14176.179999999998</v>
          </cell>
          <cell r="M21">
            <v>163.16</v>
          </cell>
          <cell r="N21">
            <v>14227.619999999999</v>
          </cell>
          <cell r="O21">
            <v>144.97</v>
          </cell>
          <cell r="P21">
            <v>14279.09</v>
          </cell>
          <cell r="Q21">
            <v>121.28</v>
          </cell>
          <cell r="R21">
            <v>14330.9</v>
          </cell>
          <cell r="S21">
            <v>94.19</v>
          </cell>
          <cell r="T21">
            <v>14382.74</v>
          </cell>
          <cell r="U21">
            <v>73.31</v>
          </cell>
          <cell r="V21">
            <v>14434.93</v>
          </cell>
          <cell r="W21">
            <v>47.480000000000004</v>
          </cell>
          <cell r="X21">
            <v>14487.15</v>
          </cell>
          <cell r="Y21">
            <v>24.64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LA-PAZ-Compra-Bienes-Capital"/>
    </sheetNames>
    <sheetDataSet>
      <sheetData sheetId="2">
        <row r="49">
          <cell r="J49">
            <v>5043.28</v>
          </cell>
          <cell r="K49">
            <v>22904.21</v>
          </cell>
          <cell r="M49">
            <v>481423.68000000017</v>
          </cell>
        </row>
      </sheetData>
      <sheetData sheetId="3">
        <row r="13">
          <cell r="B13">
            <v>23364.58</v>
          </cell>
          <cell r="C13">
            <v>4582.9</v>
          </cell>
          <cell r="D13">
            <v>23598.23</v>
          </cell>
          <cell r="E13">
            <v>4349.26</v>
          </cell>
          <cell r="F13">
            <v>23834.21</v>
          </cell>
          <cell r="G13">
            <v>4113.28</v>
          </cell>
          <cell r="H13">
            <v>24072.56</v>
          </cell>
          <cell r="I13">
            <v>3874.93</v>
          </cell>
          <cell r="J13">
            <v>24313.28</v>
          </cell>
          <cell r="K13">
            <v>3634.21</v>
          </cell>
          <cell r="L13">
            <v>24556.41</v>
          </cell>
          <cell r="M13">
            <v>3391.08</v>
          </cell>
          <cell r="N13">
            <v>24801.98</v>
          </cell>
          <cell r="O13">
            <v>3145.51</v>
          </cell>
          <cell r="P13">
            <v>25050</v>
          </cell>
          <cell r="Q13">
            <v>2897.49</v>
          </cell>
          <cell r="R13">
            <v>25300.5</v>
          </cell>
          <cell r="S13">
            <v>2646.99</v>
          </cell>
          <cell r="T13">
            <v>25553.5</v>
          </cell>
          <cell r="U13">
            <v>2393.99</v>
          </cell>
          <cell r="V13">
            <v>25809.04</v>
          </cell>
          <cell r="W13">
            <v>2138.45</v>
          </cell>
          <cell r="X13">
            <v>26067.13</v>
          </cell>
          <cell r="Y13">
            <v>1880.36</v>
          </cell>
        </row>
        <row r="14">
          <cell r="B14">
            <v>26327.8</v>
          </cell>
          <cell r="C14">
            <v>1619.69</v>
          </cell>
          <cell r="D14">
            <v>26591.08</v>
          </cell>
          <cell r="E14">
            <v>1356.41</v>
          </cell>
          <cell r="F14">
            <v>26856.99</v>
          </cell>
          <cell r="G14">
            <v>1090.5</v>
          </cell>
          <cell r="H14">
            <v>27125.55</v>
          </cell>
          <cell r="I14">
            <v>821.93</v>
          </cell>
          <cell r="J14">
            <v>27396.81</v>
          </cell>
          <cell r="K14">
            <v>550.68</v>
          </cell>
          <cell r="L14">
            <v>27670.78</v>
          </cell>
          <cell r="M14">
            <v>276.71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av. Urb."/>
      <sheetName val="RESUMEN"/>
      <sheetName val="Evolución en U$S"/>
      <sheetName val="Evolución en pesos"/>
      <sheetName val="Flujo de Vencimientos"/>
      <sheetName val="Cuota 31-12-2006"/>
      <sheetName val="Liquidación"/>
      <sheetName val="Stock Estimado"/>
    </sheetNames>
    <sheetDataSet>
      <sheetData sheetId="3">
        <row r="76">
          <cell r="Q76">
            <v>15797.24</v>
          </cell>
        </row>
        <row r="79">
          <cell r="K79">
            <v>519.17</v>
          </cell>
          <cell r="L79">
            <v>2871.17</v>
          </cell>
          <cell r="N79">
            <v>312957.8855998658</v>
          </cell>
        </row>
      </sheetData>
      <sheetData sheetId="4">
        <row r="13">
          <cell r="B13">
            <v>14235.26</v>
          </cell>
          <cell r="C13">
            <v>2611.4800000000005</v>
          </cell>
          <cell r="D13">
            <v>14419.02</v>
          </cell>
          <cell r="E13">
            <v>2367.07</v>
          </cell>
          <cell r="F13">
            <v>14551.53</v>
          </cell>
          <cell r="G13">
            <v>2620.08</v>
          </cell>
          <cell r="H13">
            <v>14615.41</v>
          </cell>
          <cell r="I13">
            <v>2522.65</v>
          </cell>
          <cell r="J13">
            <v>14679.57</v>
          </cell>
          <cell r="K13">
            <v>2593.2400000000002</v>
          </cell>
          <cell r="L13">
            <v>14744.01</v>
          </cell>
          <cell r="M13">
            <v>2496.37</v>
          </cell>
          <cell r="N13">
            <v>14808.74</v>
          </cell>
          <cell r="O13">
            <v>2565.77</v>
          </cell>
          <cell r="P13">
            <v>14873.75</v>
          </cell>
          <cell r="Q13">
            <v>2551.75</v>
          </cell>
          <cell r="R13">
            <v>14939.04</v>
          </cell>
          <cell r="S13">
            <v>2455.7200000000003</v>
          </cell>
          <cell r="T13">
            <v>15004.63</v>
          </cell>
          <cell r="U13">
            <v>2523.25</v>
          </cell>
          <cell r="V13">
            <v>15070.5</v>
          </cell>
          <cell r="W13">
            <v>2427.7799999999997</v>
          </cell>
          <cell r="X13">
            <v>15136.66</v>
          </cell>
          <cell r="Y13">
            <v>2494.05</v>
          </cell>
        </row>
        <row r="14">
          <cell r="B14">
            <v>15243.63</v>
          </cell>
          <cell r="C14">
            <v>2485.77</v>
          </cell>
          <cell r="D14">
            <v>15351.35</v>
          </cell>
          <cell r="E14">
            <v>2237.5</v>
          </cell>
          <cell r="F14">
            <v>15459.84</v>
          </cell>
          <cell r="G14">
            <v>2468.47</v>
          </cell>
          <cell r="H14">
            <v>15569.1</v>
          </cell>
          <cell r="I14">
            <v>2380.18</v>
          </cell>
          <cell r="J14">
            <v>15679.12</v>
          </cell>
          <cell r="K14">
            <v>2450.24</v>
          </cell>
          <cell r="L14">
            <v>15789.93</v>
          </cell>
          <cell r="M14">
            <v>2362.02</v>
          </cell>
          <cell r="N14">
            <v>15901.52</v>
          </cell>
          <cell r="O14">
            <v>2431</v>
          </cell>
          <cell r="P14">
            <v>16013.89</v>
          </cell>
          <cell r="Q14">
            <v>2420.96</v>
          </cell>
          <cell r="R14">
            <v>16127.06</v>
          </cell>
          <cell r="S14">
            <v>2332.92</v>
          </cell>
          <cell r="T14">
            <v>16241.030000000002</v>
          </cell>
          <cell r="U14">
            <v>2400.09</v>
          </cell>
          <cell r="V14">
            <v>16355.809999999998</v>
          </cell>
          <cell r="W14">
            <v>2312.24</v>
          </cell>
          <cell r="X14">
            <v>16471.39</v>
          </cell>
          <cell r="Y14">
            <v>2378.2000000000003</v>
          </cell>
        </row>
        <row r="15">
          <cell r="B15">
            <v>16531.07</v>
          </cell>
          <cell r="C15">
            <v>2358.72</v>
          </cell>
          <cell r="D15">
            <v>16590.96</v>
          </cell>
          <cell r="E15">
            <v>2112.72</v>
          </cell>
          <cell r="F15">
            <v>16651.07</v>
          </cell>
          <cell r="G15">
            <v>2319.3</v>
          </cell>
          <cell r="H15">
            <v>16711.4</v>
          </cell>
          <cell r="I15">
            <v>2225.14</v>
          </cell>
          <cell r="J15">
            <v>16771.940000000002</v>
          </cell>
          <cell r="K15">
            <v>2279.18</v>
          </cell>
          <cell r="L15">
            <v>16832.71</v>
          </cell>
          <cell r="M15">
            <v>2185.95</v>
          </cell>
          <cell r="N15">
            <v>16893.690000000002</v>
          </cell>
          <cell r="O15">
            <v>2238.3</v>
          </cell>
          <cell r="P15">
            <v>16954.9</v>
          </cell>
          <cell r="Q15">
            <v>2217.59</v>
          </cell>
          <cell r="R15">
            <v>17016.33</v>
          </cell>
          <cell r="S15">
            <v>2125.88</v>
          </cell>
          <cell r="T15">
            <v>17077.98</v>
          </cell>
          <cell r="U15">
            <v>2175.69</v>
          </cell>
          <cell r="V15">
            <v>17139.85</v>
          </cell>
          <cell r="W15">
            <v>2084.96</v>
          </cell>
          <cell r="X15">
            <v>17201.95</v>
          </cell>
          <cell r="Y15">
            <v>2133.0699999999997</v>
          </cell>
        </row>
        <row r="16">
          <cell r="B16">
            <v>17264.27</v>
          </cell>
          <cell r="C16">
            <v>2111.46</v>
          </cell>
          <cell r="D16">
            <v>17326.88</v>
          </cell>
          <cell r="E16">
            <v>1954.8400000000001</v>
          </cell>
          <cell r="F16">
            <v>17389.59</v>
          </cell>
          <cell r="G16">
            <v>2067.67</v>
          </cell>
          <cell r="H16">
            <v>17452.66</v>
          </cell>
          <cell r="I16">
            <v>1979.5500000000002</v>
          </cell>
          <cell r="J16">
            <v>17515.83</v>
          </cell>
          <cell r="K16">
            <v>2023.1999999999996</v>
          </cell>
          <cell r="L16">
            <v>17579.35</v>
          </cell>
          <cell r="M16">
            <v>1936.1200000000001</v>
          </cell>
          <cell r="N16">
            <v>17642.98</v>
          </cell>
          <cell r="O16">
            <v>1977.9699999999998</v>
          </cell>
          <cell r="P16">
            <v>17706.96</v>
          </cell>
          <cell r="Q16">
            <v>1955.04</v>
          </cell>
          <cell r="R16">
            <v>17771.05</v>
          </cell>
          <cell r="S16">
            <v>1869.59</v>
          </cell>
          <cell r="T16">
            <v>17835.5</v>
          </cell>
          <cell r="U16">
            <v>1908.67</v>
          </cell>
          <cell r="V16">
            <v>17900.05</v>
          </cell>
          <cell r="W16">
            <v>1824.31</v>
          </cell>
          <cell r="X16">
            <v>17964.97</v>
          </cell>
          <cell r="Y16">
            <v>1861.46</v>
          </cell>
        </row>
        <row r="17">
          <cell r="B17">
            <v>18029.989999999998</v>
          </cell>
          <cell r="C17">
            <v>1837.56</v>
          </cell>
          <cell r="D17">
            <v>18095.38</v>
          </cell>
          <cell r="E17">
            <v>1638</v>
          </cell>
          <cell r="F17">
            <v>18160.870000000003</v>
          </cell>
          <cell r="G17">
            <v>1789.2199999999998</v>
          </cell>
          <cell r="H17">
            <v>18226.73</v>
          </cell>
          <cell r="I17">
            <v>1707.85</v>
          </cell>
          <cell r="J17">
            <v>18292.7</v>
          </cell>
          <cell r="K17">
            <v>1740.0900000000001</v>
          </cell>
          <cell r="L17">
            <v>18359.04</v>
          </cell>
          <cell r="M17">
            <v>1659.8799999999999</v>
          </cell>
          <cell r="N17">
            <v>18425.489999999998</v>
          </cell>
          <cell r="O17">
            <v>1690.0900000000001</v>
          </cell>
          <cell r="P17">
            <v>18492.309999999998</v>
          </cell>
          <cell r="Q17">
            <v>1664.78</v>
          </cell>
          <cell r="R17">
            <v>18559.25</v>
          </cell>
          <cell r="S17">
            <v>1586.46</v>
          </cell>
          <cell r="T17">
            <v>18626.55</v>
          </cell>
          <cell r="U17">
            <v>1613.6200000000001</v>
          </cell>
          <cell r="V17">
            <v>18693.97</v>
          </cell>
          <cell r="W17">
            <v>1536.51</v>
          </cell>
          <cell r="X17">
            <v>18761.76</v>
          </cell>
          <cell r="Y17">
            <v>1561.6200000000001</v>
          </cell>
        </row>
        <row r="18">
          <cell r="B18">
            <v>18829.67</v>
          </cell>
          <cell r="C18">
            <v>1535.27</v>
          </cell>
          <cell r="D18">
            <v>18897.96</v>
          </cell>
          <cell r="E18">
            <v>1362.73</v>
          </cell>
          <cell r="F18">
            <v>18966.36</v>
          </cell>
          <cell r="G18">
            <v>1481.9399999999998</v>
          </cell>
          <cell r="H18">
            <v>19035.14</v>
          </cell>
          <cell r="I18">
            <v>1408.0900000000001</v>
          </cell>
          <cell r="J18">
            <v>19104.04</v>
          </cell>
          <cell r="K18">
            <v>1427.83</v>
          </cell>
          <cell r="L18">
            <v>19173.32</v>
          </cell>
          <cell r="M18">
            <v>1355.27</v>
          </cell>
          <cell r="N18">
            <v>19242.72</v>
          </cell>
          <cell r="O18">
            <v>1372.85</v>
          </cell>
          <cell r="P18">
            <v>19312.5</v>
          </cell>
          <cell r="Q18">
            <v>1345</v>
          </cell>
          <cell r="R18">
            <v>19382.4</v>
          </cell>
          <cell r="S18">
            <v>1274.46</v>
          </cell>
          <cell r="T18">
            <v>19452.69</v>
          </cell>
          <cell r="U18">
            <v>1288.7</v>
          </cell>
          <cell r="V18">
            <v>19523.1</v>
          </cell>
          <cell r="W18">
            <v>1219.53</v>
          </cell>
          <cell r="X18">
            <v>19593.9</v>
          </cell>
          <cell r="Y18">
            <v>1231.45</v>
          </cell>
        </row>
        <row r="19">
          <cell r="B19">
            <v>19664.82</v>
          </cell>
          <cell r="C19">
            <v>1202.49</v>
          </cell>
          <cell r="D19">
            <v>19736.14</v>
          </cell>
          <cell r="E19">
            <v>1059.81</v>
          </cell>
          <cell r="F19">
            <v>19807.57</v>
          </cell>
          <cell r="G19">
            <v>1143.96</v>
          </cell>
          <cell r="H19">
            <v>19879.4</v>
          </cell>
          <cell r="I19">
            <v>1078.38</v>
          </cell>
          <cell r="J19">
            <v>19951.36</v>
          </cell>
          <cell r="K19">
            <v>1084.51</v>
          </cell>
          <cell r="L19">
            <v>20023.71</v>
          </cell>
          <cell r="M19">
            <v>1020.37</v>
          </cell>
          <cell r="N19">
            <v>20096.190000000002</v>
          </cell>
          <cell r="O19">
            <v>1024.07</v>
          </cell>
          <cell r="P19">
            <v>20169.06</v>
          </cell>
          <cell r="Q19">
            <v>993.5</v>
          </cell>
          <cell r="R19">
            <v>20242.07</v>
          </cell>
          <cell r="S19">
            <v>931.67</v>
          </cell>
          <cell r="T19">
            <v>20315.47</v>
          </cell>
          <cell r="U19">
            <v>931.72</v>
          </cell>
          <cell r="V19">
            <v>20389.010000000002</v>
          </cell>
          <cell r="W19">
            <v>871.4000000000001</v>
          </cell>
          <cell r="X19">
            <v>20462.95</v>
          </cell>
          <cell r="Y19">
            <v>869</v>
          </cell>
        </row>
        <row r="20">
          <cell r="B20">
            <v>20537.010000000002</v>
          </cell>
          <cell r="C20">
            <v>837.24</v>
          </cell>
          <cell r="D20">
            <v>20611.49</v>
          </cell>
          <cell r="E20">
            <v>753.3399999999999</v>
          </cell>
          <cell r="F20">
            <v>20686.089999999997</v>
          </cell>
          <cell r="G20">
            <v>773.0699999999999</v>
          </cell>
          <cell r="H20">
            <v>20761.11</v>
          </cell>
          <cell r="I20">
            <v>716.65</v>
          </cell>
          <cell r="J20">
            <v>20836.260000000002</v>
          </cell>
          <cell r="K20">
            <v>707.8499999999999</v>
          </cell>
          <cell r="L20">
            <v>20911.82</v>
          </cell>
          <cell r="M20">
            <v>653.1700000000001</v>
          </cell>
          <cell r="N20">
            <v>20987.510000000002</v>
          </cell>
          <cell r="O20">
            <v>641.7199999999999</v>
          </cell>
          <cell r="P20">
            <v>21063.62</v>
          </cell>
          <cell r="Q20">
            <v>608.25</v>
          </cell>
          <cell r="R20">
            <v>21139.86</v>
          </cell>
          <cell r="S20">
            <v>556.04</v>
          </cell>
          <cell r="T20">
            <v>21216.52</v>
          </cell>
          <cell r="U20">
            <v>540.61</v>
          </cell>
          <cell r="V20">
            <v>21293.32</v>
          </cell>
          <cell r="W20">
            <v>490.07</v>
          </cell>
          <cell r="X20">
            <v>21370.54</v>
          </cell>
          <cell r="Y20">
            <v>471.89</v>
          </cell>
        </row>
        <row r="21">
          <cell r="B21">
            <v>21447.89</v>
          </cell>
          <cell r="C21">
            <v>437.15</v>
          </cell>
          <cell r="D21">
            <v>21525.670000000002</v>
          </cell>
          <cell r="E21">
            <v>363.31</v>
          </cell>
          <cell r="F21">
            <v>21603.58</v>
          </cell>
          <cell r="G21">
            <v>366.96</v>
          </cell>
          <cell r="H21">
            <v>21681.93</v>
          </cell>
          <cell r="I21">
            <v>320.79</v>
          </cell>
          <cell r="J21">
            <v>21760.4</v>
          </cell>
          <cell r="K21">
            <v>295.72999999999996</v>
          </cell>
          <cell r="L21">
            <v>21839.32</v>
          </cell>
          <cell r="M21">
            <v>251.32</v>
          </cell>
          <cell r="N21">
            <v>21918.370000000003</v>
          </cell>
          <cell r="O21">
            <v>223.37</v>
          </cell>
          <cell r="P21">
            <v>21997.85</v>
          </cell>
          <cell r="Q21">
            <v>186.87</v>
          </cell>
          <cell r="R21">
            <v>22077.47</v>
          </cell>
          <cell r="S21">
            <v>145.18</v>
          </cell>
          <cell r="T21">
            <v>22157.54</v>
          </cell>
          <cell r="U21">
            <v>112.89999999999999</v>
          </cell>
          <cell r="V21">
            <v>22237.739999999998</v>
          </cell>
          <cell r="W21">
            <v>73.11</v>
          </cell>
          <cell r="X21">
            <v>22318.38</v>
          </cell>
          <cell r="Y21">
            <v>37.93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JUNIN-Compra-Bienes-Capital"/>
      <sheetName val="Evolución en pesos"/>
    </sheetNames>
    <sheetDataSet>
      <sheetData sheetId="2">
        <row r="49">
          <cell r="J49">
            <v>4432.43</v>
          </cell>
          <cell r="K49">
            <v>20130.01</v>
          </cell>
          <cell r="M49">
            <v>423112.72</v>
          </cell>
        </row>
      </sheetData>
      <sheetData sheetId="3">
        <row r="13">
          <cell r="B13">
            <v>20534.62</v>
          </cell>
          <cell r="C13">
            <v>4027.81</v>
          </cell>
          <cell r="D13">
            <v>20739.97</v>
          </cell>
          <cell r="E13">
            <v>3822.47</v>
          </cell>
          <cell r="F13">
            <v>20947.37</v>
          </cell>
          <cell r="G13">
            <v>3615.07</v>
          </cell>
          <cell r="H13">
            <v>21156.84</v>
          </cell>
          <cell r="I13">
            <v>3405.59</v>
          </cell>
          <cell r="J13">
            <v>21368.41</v>
          </cell>
          <cell r="K13">
            <v>3194.03</v>
          </cell>
          <cell r="L13">
            <v>21582.09</v>
          </cell>
          <cell r="M13">
            <v>2980.34</v>
          </cell>
          <cell r="N13">
            <v>21797.91</v>
          </cell>
          <cell r="O13">
            <v>2764.52</v>
          </cell>
          <cell r="P13">
            <v>22015.89</v>
          </cell>
          <cell r="Q13">
            <v>2546.54</v>
          </cell>
          <cell r="R13">
            <v>22236.05</v>
          </cell>
          <cell r="S13">
            <v>2326.38</v>
          </cell>
          <cell r="T13">
            <v>22458.41</v>
          </cell>
          <cell r="U13">
            <v>2104.02</v>
          </cell>
          <cell r="V13">
            <v>22683</v>
          </cell>
          <cell r="W13">
            <v>1879.44</v>
          </cell>
          <cell r="X13">
            <v>22909.83</v>
          </cell>
          <cell r="Y13">
            <v>1652.61</v>
          </cell>
        </row>
        <row r="14">
          <cell r="B14">
            <v>23138.93</v>
          </cell>
          <cell r="C14">
            <v>1423.51</v>
          </cell>
          <cell r="D14">
            <v>23370.31</v>
          </cell>
          <cell r="E14">
            <v>1192.12</v>
          </cell>
          <cell r="F14">
            <v>23604.02</v>
          </cell>
          <cell r="G14">
            <v>958.42</v>
          </cell>
          <cell r="H14">
            <v>23840.06</v>
          </cell>
          <cell r="I14">
            <v>722.38</v>
          </cell>
          <cell r="J14">
            <v>24078.46</v>
          </cell>
          <cell r="K14">
            <v>483.98</v>
          </cell>
          <cell r="L14">
            <v>24319.24</v>
          </cell>
          <cell r="M14">
            <v>243.19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Evolución"/>
      <sheetName val="Anexo III"/>
      <sheetName val="Flujo vencimientos"/>
      <sheetName val="Flujo para el libro"/>
      <sheetName val="Stock Estimado"/>
      <sheetName val="Liquidación"/>
      <sheetName val="GUAYMALLÉN-Refinanciación-en-pe"/>
    </sheetNames>
    <sheetDataSet>
      <sheetData sheetId="1">
        <row r="77">
          <cell r="I77">
            <v>3886.7</v>
          </cell>
          <cell r="J77">
            <v>56295.49</v>
          </cell>
          <cell r="N77">
            <v>731841.2999999996</v>
          </cell>
        </row>
      </sheetData>
      <sheetData sheetId="4">
        <row r="13">
          <cell r="B13">
            <v>56295.49</v>
          </cell>
          <cell r="C13">
            <v>3442.51</v>
          </cell>
          <cell r="D13">
            <v>56295.48</v>
          </cell>
          <cell r="E13">
            <v>2952.04</v>
          </cell>
          <cell r="F13">
            <v>56295.49</v>
          </cell>
          <cell r="G13">
            <v>2868.76</v>
          </cell>
          <cell r="H13">
            <v>56295.48</v>
          </cell>
          <cell r="I13">
            <v>2498.59</v>
          </cell>
          <cell r="J13">
            <v>56295.49</v>
          </cell>
          <cell r="K13">
            <v>2295</v>
          </cell>
          <cell r="L13">
            <v>56295.48</v>
          </cell>
          <cell r="M13">
            <v>1943.35</v>
          </cell>
          <cell r="N13">
            <v>56295.48</v>
          </cell>
          <cell r="O13">
            <v>1721.25</v>
          </cell>
          <cell r="P13">
            <v>56295.49</v>
          </cell>
          <cell r="Q13">
            <v>1434.38</v>
          </cell>
          <cell r="R13">
            <v>56295.48</v>
          </cell>
          <cell r="S13">
            <v>1110.49</v>
          </cell>
          <cell r="T13">
            <v>56295.49</v>
          </cell>
          <cell r="U13">
            <v>860.63</v>
          </cell>
          <cell r="V13">
            <v>56295.48</v>
          </cell>
          <cell r="W13">
            <v>555.24</v>
          </cell>
          <cell r="X13">
            <v>56582.369999999995</v>
          </cell>
          <cell r="Y13">
            <v>286.88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atastros"/>
      <sheetName val="Pav. Urb.2"/>
      <sheetName val="Pav. Urb.1"/>
      <sheetName val="Adq Eq Ob y Serv Pub"/>
      <sheetName val="RESUMEN"/>
      <sheetName val="Evolución en U$S"/>
      <sheetName val="Evolución en pesos"/>
      <sheetName val="Flujo Vencimiento"/>
      <sheetName val="Flujo Vencimiento (2)"/>
      <sheetName val="Stock Estimado"/>
      <sheetName val="Cuota al 31-12-06"/>
      <sheetName val="liquidación"/>
      <sheetName val="GUAYMALLÉN-Refinanciación-BID-B"/>
    </sheetNames>
    <sheetDataSet>
      <sheetData sheetId="6">
        <row r="76">
          <cell r="Q76">
            <v>161662.38</v>
          </cell>
        </row>
        <row r="79">
          <cell r="K79">
            <v>5312.98</v>
          </cell>
          <cell r="L79">
            <v>29382.38</v>
          </cell>
          <cell r="N79">
            <v>3202678.870660736</v>
          </cell>
        </row>
      </sheetData>
      <sheetData sheetId="7">
        <row r="13">
          <cell r="B13">
            <v>145677.84</v>
          </cell>
          <cell r="C13">
            <v>26724.910000000003</v>
          </cell>
          <cell r="D13">
            <v>147558.26</v>
          </cell>
          <cell r="E13">
            <v>24223.82</v>
          </cell>
          <cell r="F13">
            <v>148914.37</v>
          </cell>
          <cell r="G13">
            <v>26812.75</v>
          </cell>
          <cell r="H13">
            <v>149568.05</v>
          </cell>
          <cell r="I13">
            <v>25815.87</v>
          </cell>
          <cell r="J13">
            <v>150224.7</v>
          </cell>
          <cell r="K13">
            <v>26538.329999999998</v>
          </cell>
          <cell r="L13">
            <v>150884.14</v>
          </cell>
          <cell r="M13">
            <v>25546.97</v>
          </cell>
          <cell r="N13">
            <v>151546.57</v>
          </cell>
          <cell r="O13">
            <v>26257</v>
          </cell>
          <cell r="P13">
            <v>152211.81</v>
          </cell>
          <cell r="Q13">
            <v>26113.72</v>
          </cell>
          <cell r="R13">
            <v>152880.07</v>
          </cell>
          <cell r="S13">
            <v>25130.97</v>
          </cell>
          <cell r="T13">
            <v>153551.16</v>
          </cell>
          <cell r="U13">
            <v>25821.85</v>
          </cell>
          <cell r="V13">
            <v>154225.31</v>
          </cell>
          <cell r="W13">
            <v>24845.06</v>
          </cell>
          <cell r="X13">
            <v>154902.3</v>
          </cell>
          <cell r="Y13">
            <v>25522.81</v>
          </cell>
        </row>
        <row r="14">
          <cell r="B14">
            <v>155997.05</v>
          </cell>
          <cell r="C14">
            <v>25438.2</v>
          </cell>
          <cell r="D14">
            <v>157099.43</v>
          </cell>
          <cell r="E14">
            <v>22897.769999999997</v>
          </cell>
          <cell r="F14">
            <v>158209.7</v>
          </cell>
          <cell r="G14">
            <v>25261.53</v>
          </cell>
          <cell r="H14">
            <v>159327.72</v>
          </cell>
          <cell r="I14">
            <v>24357.5</v>
          </cell>
          <cell r="J14">
            <v>160453.74</v>
          </cell>
          <cell r="K14">
            <v>25074.74</v>
          </cell>
          <cell r="L14">
            <v>161587.61</v>
          </cell>
          <cell r="M14">
            <v>24171.73</v>
          </cell>
          <cell r="N14">
            <v>162729.61000000002</v>
          </cell>
          <cell r="O14">
            <v>24877.56</v>
          </cell>
          <cell r="P14">
            <v>163879.56</v>
          </cell>
          <cell r="Q14">
            <v>24775</v>
          </cell>
          <cell r="R14">
            <v>165037.75</v>
          </cell>
          <cell r="S14">
            <v>23873.940000000002</v>
          </cell>
          <cell r="T14">
            <v>166204.02</v>
          </cell>
          <cell r="U14">
            <v>24561.760000000002</v>
          </cell>
          <cell r="V14">
            <v>167378.64</v>
          </cell>
          <cell r="W14">
            <v>23662.28</v>
          </cell>
          <cell r="X14">
            <v>168561.44999999998</v>
          </cell>
          <cell r="Y14">
            <v>24337.5</v>
          </cell>
        </row>
        <row r="15">
          <cell r="B15">
            <v>169172.2</v>
          </cell>
          <cell r="C15">
            <v>24138.309999999998</v>
          </cell>
          <cell r="D15">
            <v>169785.06</v>
          </cell>
          <cell r="E15">
            <v>21620.829999999998</v>
          </cell>
          <cell r="F15">
            <v>170400.25</v>
          </cell>
          <cell r="G15">
            <v>23734.629999999997</v>
          </cell>
          <cell r="H15">
            <v>171017.55</v>
          </cell>
          <cell r="I15">
            <v>22771.09</v>
          </cell>
          <cell r="J15">
            <v>171637.2</v>
          </cell>
          <cell r="K15">
            <v>23323.829999999998</v>
          </cell>
          <cell r="L15">
            <v>172258.99</v>
          </cell>
          <cell r="M15">
            <v>22370.05</v>
          </cell>
          <cell r="N15">
            <v>172883.14</v>
          </cell>
          <cell r="O15">
            <v>22905.809999999998</v>
          </cell>
          <cell r="P15">
            <v>173509.43</v>
          </cell>
          <cell r="Q15">
            <v>22694.07</v>
          </cell>
          <cell r="R15">
            <v>174138.12</v>
          </cell>
          <cell r="S15">
            <v>21755.309999999998</v>
          </cell>
          <cell r="T15">
            <v>174768.96</v>
          </cell>
          <cell r="U15">
            <v>22265.07</v>
          </cell>
          <cell r="V15">
            <v>175402.21</v>
          </cell>
          <cell r="W15">
            <v>21336.57</v>
          </cell>
          <cell r="X15">
            <v>176037.63</v>
          </cell>
          <cell r="Y15">
            <v>21828.64</v>
          </cell>
        </row>
        <row r="16">
          <cell r="B16">
            <v>176675.48</v>
          </cell>
          <cell r="C16">
            <v>21607.62</v>
          </cell>
          <cell r="D16">
            <v>177315.51</v>
          </cell>
          <cell r="E16">
            <v>20005.1</v>
          </cell>
          <cell r="F16">
            <v>177957.99</v>
          </cell>
          <cell r="G16">
            <v>21159.96</v>
          </cell>
          <cell r="H16">
            <v>178602.66999999998</v>
          </cell>
          <cell r="I16">
            <v>20257.98</v>
          </cell>
          <cell r="J16">
            <v>179249.81</v>
          </cell>
          <cell r="K16">
            <v>20704.6</v>
          </cell>
          <cell r="L16">
            <v>179899.16999999998</v>
          </cell>
          <cell r="M16">
            <v>19813.58</v>
          </cell>
          <cell r="N16">
            <v>180551</v>
          </cell>
          <cell r="O16">
            <v>20241.52</v>
          </cell>
          <cell r="P16">
            <v>181205.08</v>
          </cell>
          <cell r="Q16">
            <v>20007.05</v>
          </cell>
          <cell r="R16">
            <v>181861.64</v>
          </cell>
          <cell r="S16">
            <v>19132.86</v>
          </cell>
          <cell r="T16">
            <v>182520.47</v>
          </cell>
          <cell r="U16">
            <v>19532.21</v>
          </cell>
          <cell r="V16">
            <v>183181.80000000002</v>
          </cell>
          <cell r="W16">
            <v>18669.5</v>
          </cell>
          <cell r="X16">
            <v>183845.41</v>
          </cell>
          <cell r="Y16">
            <v>19049.43</v>
          </cell>
        </row>
        <row r="17">
          <cell r="B17">
            <v>184511.54</v>
          </cell>
          <cell r="C17">
            <v>18805.03</v>
          </cell>
          <cell r="D17">
            <v>185179.96</v>
          </cell>
          <cell r="E17">
            <v>16762.6</v>
          </cell>
          <cell r="F17">
            <v>185850.93</v>
          </cell>
          <cell r="G17">
            <v>18310.149999999998</v>
          </cell>
          <cell r="H17">
            <v>186524.21</v>
          </cell>
          <cell r="I17">
            <v>17477.08</v>
          </cell>
          <cell r="J17">
            <v>187200.05000000002</v>
          </cell>
          <cell r="K17">
            <v>17807.09</v>
          </cell>
          <cell r="L17">
            <v>187878.21</v>
          </cell>
          <cell r="M17">
            <v>16986.260000000002</v>
          </cell>
          <cell r="N17">
            <v>188558.96</v>
          </cell>
          <cell r="O17">
            <v>17295.77</v>
          </cell>
          <cell r="P17">
            <v>189242.04</v>
          </cell>
          <cell r="Q17">
            <v>17036.98</v>
          </cell>
          <cell r="R17">
            <v>189927.73</v>
          </cell>
          <cell r="S17">
            <v>16234.92</v>
          </cell>
          <cell r="T17">
            <v>190615.77</v>
          </cell>
          <cell r="U17">
            <v>16513.08</v>
          </cell>
          <cell r="V17">
            <v>191306.44</v>
          </cell>
          <cell r="W17">
            <v>15723.82</v>
          </cell>
          <cell r="X17">
            <v>191999.47999999998</v>
          </cell>
          <cell r="Y17">
            <v>15980.67</v>
          </cell>
        </row>
        <row r="18">
          <cell r="B18">
            <v>192695.16</v>
          </cell>
          <cell r="C18">
            <v>15711.25</v>
          </cell>
          <cell r="D18">
            <v>193393.22999999998</v>
          </cell>
          <cell r="E18">
            <v>13945.5</v>
          </cell>
          <cell r="F18">
            <v>194093.96</v>
          </cell>
          <cell r="G18">
            <v>15165.91</v>
          </cell>
          <cell r="H18">
            <v>194797.09</v>
          </cell>
          <cell r="I18">
            <v>14409.65</v>
          </cell>
          <cell r="J18">
            <v>195502.91</v>
          </cell>
          <cell r="K18">
            <v>14611.83</v>
          </cell>
          <cell r="L18">
            <v>196211.15</v>
          </cell>
          <cell r="M18">
            <v>13869.17</v>
          </cell>
          <cell r="N18">
            <v>196922.09</v>
          </cell>
          <cell r="O18">
            <v>14048.900000000001</v>
          </cell>
          <cell r="P18">
            <v>197635.47</v>
          </cell>
          <cell r="Q18">
            <v>13764.09</v>
          </cell>
          <cell r="R18">
            <v>198351.57</v>
          </cell>
          <cell r="S18">
            <v>13042.28</v>
          </cell>
          <cell r="T18">
            <v>199070.13</v>
          </cell>
          <cell r="U18">
            <v>13187.71</v>
          </cell>
          <cell r="V18">
            <v>199791.43</v>
          </cell>
          <cell r="W18">
            <v>12480.109999999999</v>
          </cell>
          <cell r="X18">
            <v>200515.21</v>
          </cell>
          <cell r="Y18">
            <v>12602.23</v>
          </cell>
        </row>
        <row r="19">
          <cell r="B19">
            <v>201241.74</v>
          </cell>
          <cell r="C19">
            <v>12306.05</v>
          </cell>
          <cell r="D19">
            <v>201970.77</v>
          </cell>
          <cell r="E19">
            <v>10845.529999999999</v>
          </cell>
          <cell r="F19">
            <v>202702.58000000002</v>
          </cell>
          <cell r="G19">
            <v>11706.75</v>
          </cell>
          <cell r="H19">
            <v>203436.9</v>
          </cell>
          <cell r="I19">
            <v>11035.73</v>
          </cell>
          <cell r="J19">
            <v>204174.02000000002</v>
          </cell>
          <cell r="K19">
            <v>11098.09</v>
          </cell>
          <cell r="L19">
            <v>204913.68</v>
          </cell>
          <cell r="M19">
            <v>10442.150000000001</v>
          </cell>
          <cell r="N19">
            <v>205656.15</v>
          </cell>
          <cell r="O19">
            <v>10479.98</v>
          </cell>
          <cell r="P19">
            <v>206401.16999999998</v>
          </cell>
          <cell r="Q19">
            <v>10167.349999999999</v>
          </cell>
          <cell r="R19">
            <v>207149.03</v>
          </cell>
          <cell r="S19">
            <v>9534.5</v>
          </cell>
          <cell r="T19">
            <v>207899.46</v>
          </cell>
          <cell r="U19">
            <v>9534.87</v>
          </cell>
          <cell r="V19">
            <v>208652.75</v>
          </cell>
          <cell r="W19">
            <v>8917.73</v>
          </cell>
          <cell r="X19">
            <v>209408.63</v>
          </cell>
          <cell r="Y19">
            <v>8892.66</v>
          </cell>
        </row>
        <row r="20">
          <cell r="B20">
            <v>210167.39</v>
          </cell>
          <cell r="C20">
            <v>8567.880000000001</v>
          </cell>
          <cell r="D20">
            <v>210928.76</v>
          </cell>
          <cell r="E20">
            <v>7709.05</v>
          </cell>
          <cell r="F20">
            <v>211693.02000000002</v>
          </cell>
          <cell r="G20">
            <v>7910.969999999999</v>
          </cell>
          <cell r="H20">
            <v>212459.91</v>
          </cell>
          <cell r="I20">
            <v>7334.27</v>
          </cell>
          <cell r="J20">
            <v>213229.73</v>
          </cell>
          <cell r="K20">
            <v>7244</v>
          </cell>
          <cell r="L20">
            <v>214002.19</v>
          </cell>
          <cell r="M20">
            <v>6683.929999999999</v>
          </cell>
          <cell r="N20">
            <v>214777.59</v>
          </cell>
          <cell r="O20">
            <v>6566.93</v>
          </cell>
          <cell r="P20">
            <v>215555.66</v>
          </cell>
          <cell r="Q20">
            <v>6224.570000000001</v>
          </cell>
          <cell r="R20">
            <v>216336.69</v>
          </cell>
          <cell r="S20">
            <v>5689.97</v>
          </cell>
          <cell r="T20">
            <v>217120.4</v>
          </cell>
          <cell r="U20">
            <v>5532.129999999999</v>
          </cell>
          <cell r="V20">
            <v>217907.1</v>
          </cell>
          <cell r="W20">
            <v>5014.87</v>
          </cell>
          <cell r="X20">
            <v>218696.51</v>
          </cell>
          <cell r="Y20">
            <v>4829.32</v>
          </cell>
        </row>
        <row r="21">
          <cell r="B21">
            <v>219488.92</v>
          </cell>
          <cell r="C21">
            <v>4473.98</v>
          </cell>
          <cell r="D21">
            <v>220284.05</v>
          </cell>
          <cell r="E21">
            <v>3717.69</v>
          </cell>
          <cell r="F21">
            <v>221082.22</v>
          </cell>
          <cell r="G21">
            <v>3755.38</v>
          </cell>
          <cell r="H21">
            <v>221883.12</v>
          </cell>
          <cell r="I21">
            <v>3282.6699999999996</v>
          </cell>
          <cell r="J21">
            <v>222687.08000000002</v>
          </cell>
          <cell r="K21">
            <v>3026.12</v>
          </cell>
          <cell r="L21">
            <v>223493.8</v>
          </cell>
          <cell r="M21">
            <v>2571.72</v>
          </cell>
          <cell r="N21">
            <v>224303.59</v>
          </cell>
          <cell r="O21">
            <v>2286.06</v>
          </cell>
          <cell r="P21">
            <v>225116.16999999998</v>
          </cell>
          <cell r="Q21">
            <v>1911.95</v>
          </cell>
          <cell r="R21">
            <v>225931.84</v>
          </cell>
          <cell r="S21">
            <v>1485.5900000000001</v>
          </cell>
          <cell r="T21">
            <v>226750.32</v>
          </cell>
          <cell r="U21">
            <v>1155.5</v>
          </cell>
          <cell r="V21">
            <v>227571.91</v>
          </cell>
          <cell r="W21">
            <v>748.1800000000001</v>
          </cell>
          <cell r="X21">
            <v>228396.32</v>
          </cell>
          <cell r="Y21">
            <v>387.96000000000004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</sheetNames>
    <sheetDataSet>
      <sheetData sheetId="2">
        <row r="58">
          <cell r="J58">
            <v>16084.96</v>
          </cell>
          <cell r="K58">
            <v>73050.33</v>
          </cell>
          <cell r="M58">
            <v>1535445.2499999998</v>
          </cell>
        </row>
      </sheetData>
      <sheetData sheetId="3">
        <row r="13">
          <cell r="B13">
            <v>74518.64</v>
          </cell>
          <cell r="C13">
            <v>14616.64</v>
          </cell>
          <cell r="D13">
            <v>75263.83</v>
          </cell>
          <cell r="E13">
            <v>13871.46</v>
          </cell>
          <cell r="F13">
            <v>76016.47</v>
          </cell>
          <cell r="G13">
            <v>13118.82</v>
          </cell>
          <cell r="H13">
            <v>76776.63</v>
          </cell>
          <cell r="I13">
            <v>12358.65</v>
          </cell>
          <cell r="J13">
            <v>77544.4</v>
          </cell>
          <cell r="K13">
            <v>11590.89</v>
          </cell>
          <cell r="L13">
            <v>78319.85</v>
          </cell>
          <cell r="M13">
            <v>10815.44</v>
          </cell>
          <cell r="N13">
            <v>79103.04</v>
          </cell>
          <cell r="O13">
            <v>10032.25</v>
          </cell>
          <cell r="P13">
            <v>79894.07</v>
          </cell>
          <cell r="Q13">
            <v>9241.22</v>
          </cell>
          <cell r="R13">
            <v>80693.02</v>
          </cell>
          <cell r="S13">
            <v>8442.27</v>
          </cell>
          <cell r="T13">
            <v>81499.95</v>
          </cell>
          <cell r="U13">
            <v>7635.34</v>
          </cell>
          <cell r="V13">
            <v>82314.94</v>
          </cell>
          <cell r="W13">
            <v>6820.35</v>
          </cell>
          <cell r="X13">
            <v>83138.09</v>
          </cell>
          <cell r="Y13">
            <v>5997.2</v>
          </cell>
        </row>
        <row r="14">
          <cell r="B14">
            <v>83969.48</v>
          </cell>
          <cell r="C14">
            <v>5165.81</v>
          </cell>
          <cell r="D14">
            <v>84809.17</v>
          </cell>
          <cell r="E14">
            <v>4326.12</v>
          </cell>
          <cell r="F14">
            <v>85657.26</v>
          </cell>
          <cell r="G14">
            <v>3478.03</v>
          </cell>
          <cell r="H14">
            <v>86513.83</v>
          </cell>
          <cell r="I14">
            <v>2621.46</v>
          </cell>
          <cell r="J14">
            <v>87378.98</v>
          </cell>
          <cell r="K14">
            <v>1756.32</v>
          </cell>
          <cell r="L14">
            <v>88252.76</v>
          </cell>
          <cell r="M14">
            <v>882.53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Flujos Vencimientos (2)"/>
      <sheetName val="Programación Financiera"/>
      <sheetName val="Pagos 2009"/>
      <sheetName val="Pagos 2010"/>
      <sheetName val="Pagos 2011"/>
      <sheetName val="Stock estimado"/>
    </sheetNames>
    <sheetDataSet>
      <sheetData sheetId="2">
        <row r="51">
          <cell r="J51">
            <v>34495.61</v>
          </cell>
          <cell r="K51">
            <v>156662.89</v>
          </cell>
          <cell r="M51">
            <v>3292897.9399999995</v>
          </cell>
        </row>
      </sheetData>
      <sheetData sheetId="3">
        <row r="13">
          <cell r="B13">
            <v>159811.82</v>
          </cell>
          <cell r="C13">
            <v>31346.68</v>
          </cell>
          <cell r="D13">
            <v>161409.93</v>
          </cell>
          <cell r="E13">
            <v>29748.57</v>
          </cell>
          <cell r="F13">
            <v>163024.03</v>
          </cell>
          <cell r="G13">
            <v>28134.47</v>
          </cell>
          <cell r="H13">
            <v>164654.27</v>
          </cell>
          <cell r="I13">
            <v>26504.23</v>
          </cell>
          <cell r="J13">
            <v>166300.82</v>
          </cell>
          <cell r="K13">
            <v>24857.68</v>
          </cell>
          <cell r="L13">
            <v>167963.82</v>
          </cell>
          <cell r="M13">
            <v>23194.68</v>
          </cell>
          <cell r="N13">
            <v>169643.46</v>
          </cell>
          <cell r="O13">
            <v>21515.04</v>
          </cell>
          <cell r="P13">
            <v>171339.9</v>
          </cell>
          <cell r="Q13">
            <v>19818.6</v>
          </cell>
          <cell r="R13">
            <v>173053.3</v>
          </cell>
          <cell r="S13">
            <v>18105.2</v>
          </cell>
          <cell r="T13">
            <v>174783.83</v>
          </cell>
          <cell r="U13">
            <v>16374.67</v>
          </cell>
          <cell r="V13">
            <v>176531.67</v>
          </cell>
          <cell r="W13">
            <v>14626.83</v>
          </cell>
          <cell r="X13">
            <v>178296.98</v>
          </cell>
          <cell r="Y13">
            <v>12861.52</v>
          </cell>
        </row>
        <row r="14">
          <cell r="B14">
            <v>180079.95</v>
          </cell>
          <cell r="C14">
            <v>11078.55</v>
          </cell>
          <cell r="D14">
            <v>181880.75</v>
          </cell>
          <cell r="E14">
            <v>9277.75</v>
          </cell>
          <cell r="F14">
            <v>183699.56</v>
          </cell>
          <cell r="G14">
            <v>7458.94</v>
          </cell>
          <cell r="H14">
            <v>185536.56</v>
          </cell>
          <cell r="I14">
            <v>5621.94</v>
          </cell>
          <cell r="J14">
            <v>187391.93</v>
          </cell>
          <cell r="K14">
            <v>3766.58</v>
          </cell>
          <cell r="L14">
            <v>189265.84</v>
          </cell>
          <cell r="M14">
            <v>1892.66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at"/>
      <sheetName val="Cons Inf"/>
      <sheetName val="Comp Eq Inform"/>
      <sheetName val="Red Cabl Estr"/>
      <sheetName val="Mod Plaza Dept"/>
      <sheetName val="RESUMEN"/>
      <sheetName val="Evolución en Dolares"/>
      <sheetName val="Cuota 31-12-2006"/>
      <sheetName val="Liquidación"/>
      <sheetName val="Evolución en pesos"/>
      <sheetName val="Flujo Vencimientos"/>
      <sheetName val="Stock Estimado"/>
      <sheetName val="GODOY-CRUZ-Refinanciación-BID-B"/>
    </sheetNames>
    <sheetDataSet>
      <sheetData sheetId="9">
        <row r="76">
          <cell r="Q76">
            <v>75440.81</v>
          </cell>
        </row>
        <row r="79">
          <cell r="K79">
            <v>2479.34</v>
          </cell>
          <cell r="L79">
            <v>13711.49</v>
          </cell>
          <cell r="N79">
            <v>1494551.8626432105</v>
          </cell>
        </row>
      </sheetData>
      <sheetData sheetId="10">
        <row r="13">
          <cell r="B13">
            <v>67981.57</v>
          </cell>
          <cell r="C13">
            <v>12471.35</v>
          </cell>
          <cell r="D13">
            <v>68859.05</v>
          </cell>
          <cell r="E13">
            <v>11304.220000000001</v>
          </cell>
          <cell r="F13">
            <v>69491.91</v>
          </cell>
          <cell r="G13">
            <v>12512.35</v>
          </cell>
          <cell r="H13">
            <v>69796.93</v>
          </cell>
          <cell r="I13">
            <v>12047.15</v>
          </cell>
          <cell r="J13">
            <v>70103.39</v>
          </cell>
          <cell r="K13">
            <v>12384.3</v>
          </cell>
          <cell r="L13">
            <v>70411.1</v>
          </cell>
          <cell r="M13">
            <v>11921.66</v>
          </cell>
          <cell r="N13">
            <v>70720.25</v>
          </cell>
          <cell r="O13">
            <v>12253.03</v>
          </cell>
          <cell r="P13">
            <v>71030.66</v>
          </cell>
          <cell r="Q13">
            <v>12186.12</v>
          </cell>
          <cell r="R13">
            <v>71342.54000000001</v>
          </cell>
          <cell r="S13">
            <v>11727.52</v>
          </cell>
          <cell r="T13">
            <v>71655.68</v>
          </cell>
          <cell r="U13">
            <v>12049.92</v>
          </cell>
          <cell r="V13">
            <v>71970.3</v>
          </cell>
          <cell r="W13">
            <v>11594.1</v>
          </cell>
          <cell r="X13">
            <v>72286.2</v>
          </cell>
          <cell r="Y13">
            <v>11910.380000000001</v>
          </cell>
        </row>
        <row r="14">
          <cell r="B14">
            <v>72797.1</v>
          </cell>
          <cell r="C14">
            <v>11870.9</v>
          </cell>
          <cell r="D14">
            <v>73311.5</v>
          </cell>
          <cell r="E14">
            <v>10685.43</v>
          </cell>
          <cell r="F14">
            <v>73829.65000000001</v>
          </cell>
          <cell r="G14">
            <v>11788.47</v>
          </cell>
          <cell r="H14">
            <v>74351.35</v>
          </cell>
          <cell r="I14">
            <v>11366.61</v>
          </cell>
          <cell r="J14">
            <v>74876.84</v>
          </cell>
          <cell r="K14">
            <v>11701.31</v>
          </cell>
          <cell r="L14">
            <v>75405.94</v>
          </cell>
          <cell r="M14">
            <v>11279.92</v>
          </cell>
          <cell r="N14">
            <v>75938.89</v>
          </cell>
          <cell r="O14">
            <v>11609.3</v>
          </cell>
          <cell r="P14">
            <v>76475.5</v>
          </cell>
          <cell r="Q14">
            <v>11561.45</v>
          </cell>
          <cell r="R14">
            <v>77016</v>
          </cell>
          <cell r="S14">
            <v>11140.939999999999</v>
          </cell>
          <cell r="T14">
            <v>77560.22</v>
          </cell>
          <cell r="U14">
            <v>11461.89</v>
          </cell>
          <cell r="V14">
            <v>78108.40000000001</v>
          </cell>
          <cell r="W14">
            <v>11042.16</v>
          </cell>
          <cell r="X14">
            <v>78660.33</v>
          </cell>
          <cell r="Y14">
            <v>11357.25</v>
          </cell>
        </row>
        <row r="15">
          <cell r="B15">
            <v>78945.37</v>
          </cell>
          <cell r="C15">
            <v>11264.3</v>
          </cell>
          <cell r="D15">
            <v>79231.33</v>
          </cell>
          <cell r="E15">
            <v>10089.49</v>
          </cell>
          <cell r="F15">
            <v>79518.45000000001</v>
          </cell>
          <cell r="G15">
            <v>11075.93</v>
          </cell>
          <cell r="H15">
            <v>79806.48999999999</v>
          </cell>
          <cell r="I15">
            <v>10626.27</v>
          </cell>
          <cell r="J15">
            <v>80095.68000000001</v>
          </cell>
          <cell r="K15">
            <v>10884.24</v>
          </cell>
          <cell r="L15">
            <v>80385.81</v>
          </cell>
          <cell r="M15">
            <v>10439.12</v>
          </cell>
          <cell r="N15">
            <v>80677.11</v>
          </cell>
          <cell r="O15">
            <v>10689.17</v>
          </cell>
          <cell r="P15">
            <v>80969.34</v>
          </cell>
          <cell r="Q15">
            <v>10590.369999999999</v>
          </cell>
          <cell r="R15">
            <v>81262.75</v>
          </cell>
          <cell r="S15">
            <v>10152.3</v>
          </cell>
          <cell r="T15">
            <v>81557.11</v>
          </cell>
          <cell r="U15">
            <v>10390.18</v>
          </cell>
          <cell r="V15">
            <v>81852.65000000001</v>
          </cell>
          <cell r="W15">
            <v>9956.88</v>
          </cell>
          <cell r="X15">
            <v>82149.14</v>
          </cell>
          <cell r="Y15">
            <v>10186.47</v>
          </cell>
        </row>
        <row r="16">
          <cell r="B16">
            <v>82446.83</v>
          </cell>
          <cell r="C16">
            <v>10083.34</v>
          </cell>
          <cell r="D16">
            <v>82745.47</v>
          </cell>
          <cell r="E16">
            <v>9335.529999999999</v>
          </cell>
          <cell r="F16">
            <v>83045.32</v>
          </cell>
          <cell r="G16">
            <v>9874.41</v>
          </cell>
          <cell r="H16">
            <v>83346.12999999999</v>
          </cell>
          <cell r="I16">
            <v>9453.51</v>
          </cell>
          <cell r="J16">
            <v>83648.16</v>
          </cell>
          <cell r="K16">
            <v>9661.93</v>
          </cell>
          <cell r="L16">
            <v>83951.15</v>
          </cell>
          <cell r="M16">
            <v>9246.119999999999</v>
          </cell>
          <cell r="N16">
            <v>84255.37000000001</v>
          </cell>
          <cell r="O16">
            <v>9445.84</v>
          </cell>
          <cell r="P16">
            <v>84560.56</v>
          </cell>
          <cell r="Q16">
            <v>9336.43</v>
          </cell>
          <cell r="R16">
            <v>84866.99</v>
          </cell>
          <cell r="S16">
            <v>8928.45</v>
          </cell>
          <cell r="T16">
            <v>85174.4</v>
          </cell>
          <cell r="U16">
            <v>9114.85</v>
          </cell>
          <cell r="V16">
            <v>85483.05</v>
          </cell>
          <cell r="W16">
            <v>8712.210000000001</v>
          </cell>
          <cell r="X16">
            <v>85792.69</v>
          </cell>
          <cell r="Y16">
            <v>8889.57</v>
          </cell>
        </row>
        <row r="17">
          <cell r="B17">
            <v>86103.58</v>
          </cell>
          <cell r="C17">
            <v>8775.460000000001</v>
          </cell>
          <cell r="D17">
            <v>86415.47</v>
          </cell>
          <cell r="E17">
            <v>7822.37</v>
          </cell>
          <cell r="F17">
            <v>86728.62000000001</v>
          </cell>
          <cell r="G17">
            <v>8544.53</v>
          </cell>
          <cell r="H17">
            <v>87042.76999999999</v>
          </cell>
          <cell r="I17">
            <v>8155.81</v>
          </cell>
          <cell r="J17">
            <v>87358.19</v>
          </cell>
          <cell r="K17">
            <v>8309.79</v>
          </cell>
          <cell r="L17">
            <v>87674.62999999999</v>
          </cell>
          <cell r="M17">
            <v>7926.76</v>
          </cell>
          <cell r="N17">
            <v>87992.34000000001</v>
          </cell>
          <cell r="O17">
            <v>8071.18</v>
          </cell>
          <cell r="P17">
            <v>88311.06999999999</v>
          </cell>
          <cell r="Q17">
            <v>7950.42</v>
          </cell>
          <cell r="R17">
            <v>88631.08</v>
          </cell>
          <cell r="S17">
            <v>7576.13</v>
          </cell>
          <cell r="T17">
            <v>88952.12999999999</v>
          </cell>
          <cell r="U17">
            <v>7705.95</v>
          </cell>
          <cell r="V17">
            <v>89274.47</v>
          </cell>
          <cell r="W17">
            <v>7337.62</v>
          </cell>
          <cell r="X17">
            <v>89597.84</v>
          </cell>
          <cell r="Y17">
            <v>7457.51</v>
          </cell>
        </row>
        <row r="18">
          <cell r="B18">
            <v>89922.52</v>
          </cell>
          <cell r="C18">
            <v>7331.79</v>
          </cell>
          <cell r="D18">
            <v>90248.25</v>
          </cell>
          <cell r="E18">
            <v>6507.77</v>
          </cell>
          <cell r="F18">
            <v>90575.28</v>
          </cell>
          <cell r="G18">
            <v>7077.25</v>
          </cell>
          <cell r="H18">
            <v>90903.37</v>
          </cell>
          <cell r="I18">
            <v>6724.33</v>
          </cell>
          <cell r="J18">
            <v>91232.78</v>
          </cell>
          <cell r="K18">
            <v>6818.69</v>
          </cell>
          <cell r="L18">
            <v>91563.25</v>
          </cell>
          <cell r="M18">
            <v>6472.179999999999</v>
          </cell>
          <cell r="N18">
            <v>91895.05</v>
          </cell>
          <cell r="O18">
            <v>6556.01</v>
          </cell>
          <cell r="P18">
            <v>92227.92</v>
          </cell>
          <cell r="Q18">
            <v>6423.11</v>
          </cell>
          <cell r="R18">
            <v>92562.13</v>
          </cell>
          <cell r="S18">
            <v>6086.29</v>
          </cell>
          <cell r="T18">
            <v>92897.40999999999</v>
          </cell>
          <cell r="U18">
            <v>6154.14</v>
          </cell>
          <cell r="V18">
            <v>93234.05</v>
          </cell>
          <cell r="W18">
            <v>5823.94</v>
          </cell>
          <cell r="X18">
            <v>93571.76999999999</v>
          </cell>
          <cell r="Y18">
            <v>5880.9400000000005</v>
          </cell>
        </row>
        <row r="19">
          <cell r="B19">
            <v>93910.84000000001</v>
          </cell>
          <cell r="C19">
            <v>5742.7300000000005</v>
          </cell>
          <cell r="D19">
            <v>94251.01999999999</v>
          </cell>
          <cell r="E19">
            <v>5061.17</v>
          </cell>
          <cell r="F19">
            <v>94592.56000000001</v>
          </cell>
          <cell r="G19">
            <v>5463.08</v>
          </cell>
          <cell r="H19">
            <v>94935.2</v>
          </cell>
          <cell r="I19">
            <v>5149.900000000001</v>
          </cell>
          <cell r="J19">
            <v>95279.21</v>
          </cell>
          <cell r="K19">
            <v>5178.9800000000005</v>
          </cell>
          <cell r="L19">
            <v>95624.34</v>
          </cell>
          <cell r="M19">
            <v>4872.900000000001</v>
          </cell>
          <cell r="N19">
            <v>95970.86</v>
          </cell>
          <cell r="O19">
            <v>4890.55</v>
          </cell>
          <cell r="P19">
            <v>96318.48999999999</v>
          </cell>
          <cell r="Q19">
            <v>4744.67</v>
          </cell>
          <cell r="R19">
            <v>96667.52</v>
          </cell>
          <cell r="S19">
            <v>4449.32</v>
          </cell>
          <cell r="T19">
            <v>97017.68</v>
          </cell>
          <cell r="U19">
            <v>4449.52</v>
          </cell>
          <cell r="V19">
            <v>97369.24</v>
          </cell>
          <cell r="W19">
            <v>4161.57</v>
          </cell>
          <cell r="X19">
            <v>97721.94</v>
          </cell>
          <cell r="Y19">
            <v>4149.85</v>
          </cell>
        </row>
        <row r="20">
          <cell r="B20">
            <v>98076.06000000001</v>
          </cell>
          <cell r="C20">
            <v>3998.29</v>
          </cell>
          <cell r="D20">
            <v>98431.31999999999</v>
          </cell>
          <cell r="E20">
            <v>3597.4900000000002</v>
          </cell>
          <cell r="F20">
            <v>98788.01000000001</v>
          </cell>
          <cell r="G20">
            <v>3691.7200000000003</v>
          </cell>
          <cell r="H20">
            <v>99145.84</v>
          </cell>
          <cell r="I20">
            <v>3422.58</v>
          </cell>
          <cell r="J20">
            <v>99505.12000000001</v>
          </cell>
          <cell r="K20">
            <v>3380.41</v>
          </cell>
          <cell r="L20">
            <v>99865.56</v>
          </cell>
          <cell r="M20">
            <v>3119.1</v>
          </cell>
          <cell r="N20">
            <v>100227.44</v>
          </cell>
          <cell r="O20">
            <v>3064.46</v>
          </cell>
          <cell r="P20">
            <v>100590.48999999999</v>
          </cell>
          <cell r="Q20">
            <v>2904.7000000000003</v>
          </cell>
          <cell r="R20">
            <v>100955.01000000001</v>
          </cell>
          <cell r="S20">
            <v>2655.25</v>
          </cell>
          <cell r="T20">
            <v>101320.69</v>
          </cell>
          <cell r="U20">
            <v>2581.59</v>
          </cell>
          <cell r="V20">
            <v>101687.85</v>
          </cell>
          <cell r="W20">
            <v>2340.2000000000003</v>
          </cell>
          <cell r="X20">
            <v>102056.19</v>
          </cell>
          <cell r="Y20">
            <v>2253.63</v>
          </cell>
        </row>
        <row r="21">
          <cell r="B21">
            <v>102426.02</v>
          </cell>
          <cell r="C21">
            <v>2087.81</v>
          </cell>
          <cell r="D21">
            <v>102797.03</v>
          </cell>
          <cell r="E21">
            <v>1734.8400000000001</v>
          </cell>
          <cell r="F21">
            <v>103169.54000000001</v>
          </cell>
          <cell r="G21">
            <v>1752.49</v>
          </cell>
          <cell r="H21">
            <v>103543.25</v>
          </cell>
          <cell r="I21">
            <v>1531.84</v>
          </cell>
          <cell r="J21">
            <v>103918.46</v>
          </cell>
          <cell r="K21">
            <v>1412.1799999999998</v>
          </cell>
          <cell r="L21">
            <v>104294.87999999999</v>
          </cell>
          <cell r="M21">
            <v>1200.1399999999999</v>
          </cell>
          <cell r="N21">
            <v>104672.82</v>
          </cell>
          <cell r="O21">
            <v>1066.77</v>
          </cell>
          <cell r="P21">
            <v>105051.97</v>
          </cell>
          <cell r="Q21">
            <v>892.19</v>
          </cell>
          <cell r="R21">
            <v>105432.65000000001</v>
          </cell>
          <cell r="S21">
            <v>693.27</v>
          </cell>
          <cell r="T21">
            <v>105814.56</v>
          </cell>
          <cell r="U21">
            <v>539.2</v>
          </cell>
          <cell r="V21">
            <v>106198</v>
          </cell>
          <cell r="W21">
            <v>349.15</v>
          </cell>
          <cell r="X21">
            <v>106582.68</v>
          </cell>
          <cell r="Y21">
            <v>181.04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  <sheetName val="GODOY-CRUZ-Compra-Bienes-Capita"/>
    </sheetNames>
    <sheetDataSet>
      <sheetData sheetId="2">
        <row r="49">
          <cell r="J49">
            <v>6919.33</v>
          </cell>
          <cell r="K49">
            <v>31424.33</v>
          </cell>
          <cell r="M49">
            <v>660508.2199999999</v>
          </cell>
        </row>
      </sheetData>
      <sheetData sheetId="3">
        <row r="13">
          <cell r="B13">
            <v>32055.96</v>
          </cell>
          <cell r="C13">
            <v>6287.7</v>
          </cell>
          <cell r="D13">
            <v>32376.52</v>
          </cell>
          <cell r="E13">
            <v>5967.14</v>
          </cell>
          <cell r="F13">
            <v>32700.29</v>
          </cell>
          <cell r="G13">
            <v>5643.37</v>
          </cell>
          <cell r="H13">
            <v>33027.29</v>
          </cell>
          <cell r="I13">
            <v>5316.37</v>
          </cell>
          <cell r="J13">
            <v>33357.57</v>
          </cell>
          <cell r="K13">
            <v>4986.1</v>
          </cell>
          <cell r="L13">
            <v>33691.14</v>
          </cell>
          <cell r="M13">
            <v>4652.52</v>
          </cell>
          <cell r="N13">
            <v>34028.05</v>
          </cell>
          <cell r="O13">
            <v>4315.61</v>
          </cell>
          <cell r="P13">
            <v>34368.33</v>
          </cell>
          <cell r="Q13">
            <v>3975.33</v>
          </cell>
          <cell r="R13">
            <v>34712.02</v>
          </cell>
          <cell r="S13">
            <v>3631.64</v>
          </cell>
          <cell r="T13">
            <v>35059.14</v>
          </cell>
          <cell r="U13">
            <v>3284.52</v>
          </cell>
          <cell r="V13">
            <v>35409.73</v>
          </cell>
          <cell r="W13">
            <v>2933.93</v>
          </cell>
          <cell r="X13">
            <v>35763.82</v>
          </cell>
          <cell r="Y13">
            <v>2579.84</v>
          </cell>
        </row>
        <row r="14">
          <cell r="B14">
            <v>36121.46</v>
          </cell>
          <cell r="C14">
            <v>2222.2</v>
          </cell>
          <cell r="D14">
            <v>36482.68</v>
          </cell>
          <cell r="E14">
            <v>1860.98</v>
          </cell>
          <cell r="F14">
            <v>36847.5</v>
          </cell>
          <cell r="G14">
            <v>1496.16</v>
          </cell>
          <cell r="H14">
            <v>37215.98</v>
          </cell>
          <cell r="I14">
            <v>1127.68</v>
          </cell>
          <cell r="J14">
            <v>37588.14</v>
          </cell>
          <cell r="K14">
            <v>755.52</v>
          </cell>
          <cell r="L14">
            <v>37964.02</v>
          </cell>
          <cell r="M14">
            <v>379.64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vencimientos"/>
      <sheetName val="Flujo para el libro"/>
      <sheetName val="Stock Estimado"/>
      <sheetName val="GODOY-CRUZ-Canje-Entidades-Fina"/>
    </sheetNames>
    <sheetDataSet>
      <sheetData sheetId="2">
        <row r="13">
          <cell r="B13">
            <v>184367.62</v>
          </cell>
          <cell r="C13">
            <v>28707.48</v>
          </cell>
          <cell r="D13">
            <v>186426.29</v>
          </cell>
          <cell r="E13">
            <v>25932.84</v>
          </cell>
          <cell r="F13">
            <v>187947.53</v>
          </cell>
          <cell r="G13">
            <v>28626.39</v>
          </cell>
          <cell r="H13">
            <v>189481.18</v>
          </cell>
          <cell r="I13">
            <v>27617.54</v>
          </cell>
          <cell r="J13">
            <v>191027.35</v>
          </cell>
          <cell r="K13">
            <v>28446.51</v>
          </cell>
          <cell r="L13">
            <v>192586.13</v>
          </cell>
          <cell r="M13">
            <v>27436.93</v>
          </cell>
          <cell r="N13">
            <v>194157.63</v>
          </cell>
          <cell r="O13">
            <v>28253.04</v>
          </cell>
          <cell r="P13">
            <v>195741.96000000002</v>
          </cell>
          <cell r="Q13">
            <v>28151.1</v>
          </cell>
          <cell r="R13">
            <v>197339.21000000002</v>
          </cell>
          <cell r="S13">
            <v>27140.91</v>
          </cell>
          <cell r="T13">
            <v>198949.5</v>
          </cell>
          <cell r="U13">
            <v>27936.51</v>
          </cell>
          <cell r="V13">
            <v>200572.93</v>
          </cell>
          <cell r="W13">
            <v>26926.24</v>
          </cell>
          <cell r="X13">
            <v>202209.6</v>
          </cell>
          <cell r="Y13">
            <v>27707.34</v>
          </cell>
        </row>
        <row r="14">
          <cell r="B14">
            <v>203729.21000000002</v>
          </cell>
          <cell r="C14">
            <v>27569.5</v>
          </cell>
          <cell r="D14">
            <v>335258.31</v>
          </cell>
          <cell r="E14">
            <v>24773.7</v>
          </cell>
          <cell r="F14">
            <v>337777.77999999997</v>
          </cell>
          <cell r="G14">
            <v>27060.38</v>
          </cell>
          <cell r="H14">
            <v>340316.18</v>
          </cell>
          <cell r="I14">
            <v>25824.84</v>
          </cell>
          <cell r="J14">
            <v>342873.66</v>
          </cell>
          <cell r="K14">
            <v>26303.8</v>
          </cell>
          <cell r="L14">
            <v>345450.35</v>
          </cell>
          <cell r="M14">
            <v>25078.72</v>
          </cell>
          <cell r="N14">
            <v>348046.41</v>
          </cell>
          <cell r="O14">
            <v>25518.23</v>
          </cell>
          <cell r="P14">
            <v>350661.98</v>
          </cell>
          <cell r="Q14">
            <v>25114.35</v>
          </cell>
          <cell r="R14">
            <v>353297.2</v>
          </cell>
          <cell r="S14">
            <v>23906.09</v>
          </cell>
          <cell r="T14">
            <v>355952.23</v>
          </cell>
          <cell r="U14">
            <v>24283.98</v>
          </cell>
          <cell r="V14">
            <v>358627.21</v>
          </cell>
          <cell r="W14">
            <v>23087.71</v>
          </cell>
          <cell r="X14">
            <v>361322.29</v>
          </cell>
          <cell r="Y14">
            <v>23422.83</v>
          </cell>
        </row>
        <row r="15">
          <cell r="B15">
            <v>363869.61</v>
          </cell>
          <cell r="C15">
            <v>22969.88</v>
          </cell>
          <cell r="D15">
            <v>366434.89</v>
          </cell>
          <cell r="E15">
            <v>20331.05</v>
          </cell>
          <cell r="F15">
            <v>369018.26</v>
          </cell>
          <cell r="G15">
            <v>22041.25</v>
          </cell>
          <cell r="H15">
            <v>371619.83999999997</v>
          </cell>
          <cell r="I15">
            <v>20869.74</v>
          </cell>
          <cell r="J15">
            <v>374239.75</v>
          </cell>
          <cell r="K15">
            <v>21081.73</v>
          </cell>
          <cell r="L15">
            <v>376878.14</v>
          </cell>
          <cell r="M15">
            <v>19925.98</v>
          </cell>
          <cell r="N15">
            <v>379535.13</v>
          </cell>
          <cell r="O15">
            <v>20090.65</v>
          </cell>
          <cell r="P15">
            <v>382210.86</v>
          </cell>
          <cell r="Q15">
            <v>19583.06</v>
          </cell>
          <cell r="R15">
            <v>384905.44</v>
          </cell>
          <cell r="S15">
            <v>18452.23</v>
          </cell>
          <cell r="T15">
            <v>387619.01999999996</v>
          </cell>
          <cell r="U15">
            <v>18543.31</v>
          </cell>
          <cell r="V15">
            <v>390351.74</v>
          </cell>
          <cell r="W15">
            <v>17429.98</v>
          </cell>
          <cell r="X15">
            <v>393103.70999999996</v>
          </cell>
          <cell r="Y15">
            <v>17470.22</v>
          </cell>
        </row>
        <row r="16">
          <cell r="B16">
            <v>395875.08999999997</v>
          </cell>
          <cell r="C16">
            <v>16920.94</v>
          </cell>
          <cell r="D16">
            <v>398666.00999999995</v>
          </cell>
          <cell r="E16">
            <v>15307.36</v>
          </cell>
          <cell r="F16">
            <v>401476.61</v>
          </cell>
          <cell r="G16">
            <v>15796.44</v>
          </cell>
          <cell r="H16">
            <v>404307.01999999996</v>
          </cell>
          <cell r="I16">
            <v>14730.04</v>
          </cell>
          <cell r="J16">
            <v>407157.38</v>
          </cell>
          <cell r="K16">
            <v>14636.74</v>
          </cell>
          <cell r="L16">
            <v>410027.83999999997</v>
          </cell>
          <cell r="M16">
            <v>13590.43</v>
          </cell>
          <cell r="N16">
            <v>412918.52999999997</v>
          </cell>
          <cell r="O16">
            <v>13441.05</v>
          </cell>
          <cell r="P16">
            <v>415829.6</v>
          </cell>
          <cell r="Q16">
            <v>12829.47</v>
          </cell>
          <cell r="R16">
            <v>418761.19999999995</v>
          </cell>
          <cell r="S16">
            <v>11814.77</v>
          </cell>
          <cell r="T16">
            <v>421713.47</v>
          </cell>
          <cell r="U16">
            <v>11578.33</v>
          </cell>
          <cell r="V16">
            <v>424686.54</v>
          </cell>
          <cell r="W16">
            <v>10585.72</v>
          </cell>
          <cell r="X16">
            <v>427680.57999999996</v>
          </cell>
          <cell r="Y16">
            <v>10289.22</v>
          </cell>
        </row>
        <row r="17">
          <cell r="B17">
            <v>430695.73</v>
          </cell>
          <cell r="C17">
            <v>9630.17</v>
          </cell>
          <cell r="D17">
            <v>433732.13</v>
          </cell>
          <cell r="E17">
            <v>8094.089999999999</v>
          </cell>
          <cell r="F17">
            <v>436789.94</v>
          </cell>
          <cell r="G17">
            <v>8282.54</v>
          </cell>
          <cell r="H17">
            <v>439869.31</v>
          </cell>
          <cell r="I17">
            <v>7348.8</v>
          </cell>
          <cell r="J17">
            <v>442970.38</v>
          </cell>
          <cell r="K17">
            <v>6894.85</v>
          </cell>
          <cell r="L17">
            <v>446093.32</v>
          </cell>
          <cell r="M17">
            <v>5986.17</v>
          </cell>
          <cell r="N17">
            <v>449238.26999999996</v>
          </cell>
          <cell r="O17">
            <v>5466.23</v>
          </cell>
          <cell r="P17">
            <v>452405.39999999997</v>
          </cell>
          <cell r="Q17">
            <v>4736.3</v>
          </cell>
          <cell r="R17">
            <v>455594.85</v>
          </cell>
          <cell r="S17">
            <v>3866.91</v>
          </cell>
          <cell r="T17">
            <v>458806.79</v>
          </cell>
          <cell r="U17">
            <v>3244.63</v>
          </cell>
          <cell r="V17">
            <v>462041.36</v>
          </cell>
          <cell r="W17">
            <v>2402.58</v>
          </cell>
          <cell r="X17">
            <v>465298.74</v>
          </cell>
          <cell r="Y17">
            <v>1709.8</v>
          </cell>
        </row>
        <row r="18">
          <cell r="B18">
            <v>545093.7000000244</v>
          </cell>
          <cell r="C18">
            <v>925.91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Evolución"/>
      <sheetName val="Flujo vencimientos"/>
      <sheetName val="Stock Estimado"/>
      <sheetName val="GODOY-CRUZ-Banco-Nación-Argenti"/>
    </sheetNames>
    <sheetDataSet>
      <sheetData sheetId="2">
        <row r="13">
          <cell r="B13">
            <v>159997.2</v>
          </cell>
          <cell r="C13">
            <v>13396.56</v>
          </cell>
          <cell r="D13">
            <v>162155.83</v>
          </cell>
          <cell r="E13">
            <v>11237.94</v>
          </cell>
          <cell r="F13">
            <v>164343.59</v>
          </cell>
          <cell r="G13">
            <v>9050.18</v>
          </cell>
          <cell r="H13">
            <v>166560.86</v>
          </cell>
          <cell r="I13">
            <v>6832.91</v>
          </cell>
          <cell r="J13">
            <v>168808.04</v>
          </cell>
          <cell r="K13">
            <v>4585.73</v>
          </cell>
          <cell r="L13">
            <v>171085.54</v>
          </cell>
          <cell r="M13">
            <v>2308.23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diciones del préstamo"/>
      <sheetName val="Ingresos"/>
      <sheetName val="Ingresos Anuales"/>
      <sheetName val="Evolución"/>
      <sheetName val="Pagos 2011"/>
      <sheetName val="Flujos Vencimientos"/>
      <sheetName val="Stock Estimado"/>
      <sheetName val="Programación Financiera"/>
      <sheetName val="SAN MARTIN-Préstamo-Banco-Nació"/>
    </sheetNames>
    <sheetDataSet>
      <sheetData sheetId="5">
        <row r="13">
          <cell r="B13">
            <v>163108.02</v>
          </cell>
          <cell r="C13">
            <v>132891.56</v>
          </cell>
          <cell r="D13">
            <v>165189.35</v>
          </cell>
          <cell r="E13">
            <v>130810.24</v>
          </cell>
          <cell r="F13">
            <v>167297.23</v>
          </cell>
          <cell r="G13">
            <v>128702.35</v>
          </cell>
          <cell r="H13">
            <v>169432.02</v>
          </cell>
          <cell r="I13">
            <v>126567.57</v>
          </cell>
          <cell r="J13">
            <v>171594.04</v>
          </cell>
          <cell r="K13">
            <v>124405.55</v>
          </cell>
          <cell r="L13">
            <v>173783.65</v>
          </cell>
          <cell r="M13">
            <v>122215.94</v>
          </cell>
          <cell r="N13">
            <v>176001.2</v>
          </cell>
          <cell r="O13">
            <v>119998.38</v>
          </cell>
          <cell r="P13">
            <v>178247.05</v>
          </cell>
          <cell r="Q13">
            <v>117752.54</v>
          </cell>
          <cell r="R13">
            <v>180521.56</v>
          </cell>
          <cell r="S13">
            <v>115478.03</v>
          </cell>
          <cell r="T13">
            <v>182825.09</v>
          </cell>
          <cell r="U13">
            <v>113174.5</v>
          </cell>
          <cell r="V13">
            <v>185158.01</v>
          </cell>
          <cell r="W13">
            <v>110841.57</v>
          </cell>
          <cell r="X13">
            <v>187520.7</v>
          </cell>
          <cell r="Y13">
            <v>108478.88</v>
          </cell>
        </row>
        <row r="14">
          <cell r="B14">
            <v>189913.55</v>
          </cell>
          <cell r="C14">
            <v>106086.04</v>
          </cell>
          <cell r="D14">
            <v>192336.92</v>
          </cell>
          <cell r="E14">
            <v>103662.66</v>
          </cell>
          <cell r="F14">
            <v>194791.22</v>
          </cell>
          <cell r="G14">
            <v>101208.36</v>
          </cell>
          <cell r="H14">
            <v>197276.84</v>
          </cell>
          <cell r="I14">
            <v>98722.75</v>
          </cell>
          <cell r="J14">
            <v>199794.17</v>
          </cell>
          <cell r="K14">
            <v>96205.41</v>
          </cell>
          <cell r="L14">
            <v>202343.63</v>
          </cell>
          <cell r="M14">
            <v>93655.95</v>
          </cell>
          <cell r="N14">
            <v>204925.62</v>
          </cell>
          <cell r="O14">
            <v>91073.97</v>
          </cell>
          <cell r="P14">
            <v>207540.56</v>
          </cell>
          <cell r="Q14">
            <v>88459.03</v>
          </cell>
          <cell r="R14">
            <v>210188.86</v>
          </cell>
          <cell r="S14">
            <v>85810.73</v>
          </cell>
          <cell r="T14">
            <v>212870.96</v>
          </cell>
          <cell r="U14">
            <v>83128.63</v>
          </cell>
          <cell r="V14">
            <v>215587.28</v>
          </cell>
          <cell r="W14">
            <v>80412.31</v>
          </cell>
          <cell r="X14">
            <v>218338.26</v>
          </cell>
          <cell r="Y14">
            <v>77661.32</v>
          </cell>
        </row>
        <row r="15">
          <cell r="B15">
            <v>221124.35</v>
          </cell>
          <cell r="C15">
            <v>74875.23</v>
          </cell>
          <cell r="D15">
            <v>223945.99</v>
          </cell>
          <cell r="E15">
            <v>72053.6</v>
          </cell>
          <cell r="F15">
            <v>226803.63</v>
          </cell>
          <cell r="G15">
            <v>69195.95</v>
          </cell>
          <cell r="H15">
            <v>229697.74</v>
          </cell>
          <cell r="I15">
            <v>66301.84</v>
          </cell>
          <cell r="J15">
            <v>232628.78</v>
          </cell>
          <cell r="K15">
            <v>63370.8</v>
          </cell>
          <cell r="L15">
            <v>235597.22</v>
          </cell>
          <cell r="M15">
            <v>60402.36</v>
          </cell>
          <cell r="N15">
            <v>238603.54</v>
          </cell>
          <cell r="O15">
            <v>57396.05</v>
          </cell>
          <cell r="P15">
            <v>241648.22</v>
          </cell>
          <cell r="Q15">
            <v>54351.36</v>
          </cell>
          <cell r="R15">
            <v>244731.75</v>
          </cell>
          <cell r="S15">
            <v>51267.83</v>
          </cell>
          <cell r="T15">
            <v>247854.63</v>
          </cell>
          <cell r="U15">
            <v>48144.95</v>
          </cell>
          <cell r="V15">
            <v>251017.36</v>
          </cell>
          <cell r="W15">
            <v>44982.23</v>
          </cell>
          <cell r="X15">
            <v>254220.45</v>
          </cell>
          <cell r="Y15">
            <v>41779.14</v>
          </cell>
        </row>
        <row r="16">
          <cell r="B16">
            <v>257464.41</v>
          </cell>
          <cell r="C16">
            <v>38535.18</v>
          </cell>
          <cell r="D16">
            <v>260749.76</v>
          </cell>
          <cell r="E16">
            <v>35249.83</v>
          </cell>
          <cell r="F16">
            <v>264077.04</v>
          </cell>
          <cell r="G16">
            <v>31922.55</v>
          </cell>
          <cell r="H16">
            <v>267446.77</v>
          </cell>
          <cell r="I16">
            <v>28552.82</v>
          </cell>
          <cell r="J16">
            <v>270859.5</v>
          </cell>
          <cell r="K16">
            <v>25140.09</v>
          </cell>
          <cell r="L16">
            <v>274315.78</v>
          </cell>
          <cell r="M16">
            <v>21683.81</v>
          </cell>
          <cell r="N16">
            <v>277816.16</v>
          </cell>
          <cell r="O16">
            <v>18183.42</v>
          </cell>
          <cell r="P16">
            <v>281361.22</v>
          </cell>
          <cell r="Q16">
            <v>14638.37</v>
          </cell>
          <cell r="R16">
            <v>284951.5</v>
          </cell>
          <cell r="S16">
            <v>11048.09</v>
          </cell>
          <cell r="T16">
            <v>288587.6</v>
          </cell>
          <cell r="U16">
            <v>7411.99</v>
          </cell>
          <cell r="V16">
            <v>292270.1</v>
          </cell>
          <cell r="W16">
            <v>3729.49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Normas Legales"/>
      <sheetName val="Ingresos"/>
      <sheetName val="Ingresos Anuales"/>
      <sheetName val="Evolución"/>
      <sheetName val="Flujos Vencimientos"/>
      <sheetName val="Programación Financiera"/>
      <sheetName val="Pagos 2011"/>
      <sheetName val="Stock Estimado"/>
      <sheetName val="SANTA-ROSA-Banco-Nación-Argenti"/>
    </sheetNames>
    <sheetDataSet>
      <sheetData sheetId="4">
        <row r="13">
          <cell r="B13">
            <v>86061.35</v>
          </cell>
          <cell r="C13">
            <v>50996.5</v>
          </cell>
          <cell r="D13">
            <v>87150.56</v>
          </cell>
          <cell r="E13">
            <v>49907.28</v>
          </cell>
          <cell r="F13">
            <v>88253.56</v>
          </cell>
          <cell r="G13">
            <v>48804.29</v>
          </cell>
          <cell r="H13">
            <v>89370.52</v>
          </cell>
          <cell r="I13">
            <v>47687.33</v>
          </cell>
          <cell r="J13">
            <v>90501.62</v>
          </cell>
          <cell r="K13">
            <v>46556.23</v>
          </cell>
          <cell r="L13">
            <v>91647.03</v>
          </cell>
          <cell r="M13">
            <v>45410.82</v>
          </cell>
          <cell r="N13">
            <v>92806.94</v>
          </cell>
          <cell r="O13">
            <v>44250.91</v>
          </cell>
          <cell r="P13">
            <v>93981.52</v>
          </cell>
          <cell r="Q13">
            <v>43076.32</v>
          </cell>
          <cell r="R13">
            <v>95170.98</v>
          </cell>
          <cell r="S13">
            <v>41886.87</v>
          </cell>
          <cell r="T13">
            <v>96375.49</v>
          </cell>
          <cell r="U13">
            <v>40682.36</v>
          </cell>
          <cell r="V13">
            <v>97595.24</v>
          </cell>
          <cell r="W13">
            <v>39462.61</v>
          </cell>
          <cell r="X13">
            <v>98830.43</v>
          </cell>
          <cell r="Y13">
            <v>38227.42</v>
          </cell>
        </row>
        <row r="14">
          <cell r="B14">
            <v>100081.25</v>
          </cell>
          <cell r="C14">
            <v>36976.6</v>
          </cell>
          <cell r="D14">
            <v>101347.9</v>
          </cell>
          <cell r="E14">
            <v>35709.94</v>
          </cell>
          <cell r="F14">
            <v>102630.59</v>
          </cell>
          <cell r="G14">
            <v>34427.26</v>
          </cell>
          <cell r="H14">
            <v>103929.51</v>
          </cell>
          <cell r="I14">
            <v>33128.34</v>
          </cell>
          <cell r="J14">
            <v>105244.86</v>
          </cell>
          <cell r="K14">
            <v>31812.98</v>
          </cell>
          <cell r="L14">
            <v>106576.87</v>
          </cell>
          <cell r="M14">
            <v>30480.98</v>
          </cell>
          <cell r="N14">
            <v>107925.73</v>
          </cell>
          <cell r="O14">
            <v>29132.11</v>
          </cell>
          <cell r="P14">
            <v>109291.67</v>
          </cell>
          <cell r="Q14">
            <v>27766.18</v>
          </cell>
          <cell r="R14">
            <v>110674.89</v>
          </cell>
          <cell r="S14">
            <v>26382.96</v>
          </cell>
          <cell r="T14">
            <v>112075.62</v>
          </cell>
          <cell r="U14">
            <v>24982.23</v>
          </cell>
          <cell r="V14">
            <v>113494.08</v>
          </cell>
          <cell r="W14">
            <v>23563.77</v>
          </cell>
          <cell r="X14">
            <v>114930.49</v>
          </cell>
          <cell r="Y14">
            <v>22127.36</v>
          </cell>
        </row>
        <row r="15">
          <cell r="B15">
            <v>116385.07</v>
          </cell>
          <cell r="C15">
            <v>20672.77</v>
          </cell>
          <cell r="D15">
            <v>117858.07</v>
          </cell>
          <cell r="E15">
            <v>19199.77</v>
          </cell>
          <cell r="F15">
            <v>119349.71</v>
          </cell>
          <cell r="G15">
            <v>17708.13</v>
          </cell>
          <cell r="H15">
            <v>120860.23</v>
          </cell>
          <cell r="I15">
            <v>16197.61</v>
          </cell>
          <cell r="J15">
            <v>122389.87</v>
          </cell>
          <cell r="K15">
            <v>14667.98</v>
          </cell>
          <cell r="L15">
            <v>123938.87</v>
          </cell>
          <cell r="M15">
            <v>13118.98</v>
          </cell>
          <cell r="N15">
            <v>125507.47</v>
          </cell>
          <cell r="O15">
            <v>11550.38</v>
          </cell>
          <cell r="P15">
            <v>127095.93</v>
          </cell>
          <cell r="Q15">
            <v>9961.92</v>
          </cell>
          <cell r="R15">
            <v>128704.48</v>
          </cell>
          <cell r="S15">
            <v>8353.37</v>
          </cell>
          <cell r="T15">
            <v>130333.4</v>
          </cell>
          <cell r="U15">
            <v>6724.45</v>
          </cell>
          <cell r="V15">
            <v>131982.93</v>
          </cell>
          <cell r="W15">
            <v>5074.92</v>
          </cell>
          <cell r="X15">
            <v>133653.34</v>
          </cell>
          <cell r="Y15">
            <v>3404.51</v>
          </cell>
        </row>
        <row r="16">
          <cell r="B16">
            <v>135344.89</v>
          </cell>
          <cell r="C16">
            <v>1712.96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de Vencimiento"/>
      <sheetName val="Stock Estimado"/>
      <sheetName val="RIVADAVIA-BID-BIRF-Red-Gas"/>
    </sheetNames>
    <sheetDataSet>
      <sheetData sheetId="0">
        <row r="42">
          <cell r="N42">
            <v>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LAVALLE-Comparativa-2011-ACTUAL"/>
    </sheetNames>
    <sheetDataSet>
      <sheetData sheetId="1">
        <row r="10">
          <cell r="I10">
            <v>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LAS-HERAS-Comparativa-2011-ACTU"/>
    </sheetNames>
    <sheetDataSet>
      <sheetData sheetId="1">
        <row r="10">
          <cell r="I10">
            <v>2982334.6846027933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volución"/>
      <sheetName val="Flujo vencimientos"/>
      <sheetName val="Flujo para el libro"/>
      <sheetName val="Stock Estimado"/>
      <sheetName val="Para importar"/>
      <sheetName val="TUNUYAN-Canje-Entidades-Financi"/>
    </sheetNames>
    <sheetDataSet>
      <sheetData sheetId="2">
        <row r="13">
          <cell r="B13">
            <v>6871.360000000001</v>
          </cell>
          <cell r="C13">
            <v>1069.92</v>
          </cell>
          <cell r="D13">
            <v>6962.01</v>
          </cell>
          <cell r="E13">
            <v>975.1600000000001</v>
          </cell>
          <cell r="F13">
            <v>7018.82</v>
          </cell>
          <cell r="G13">
            <v>1075.73</v>
          </cell>
          <cell r="H13">
            <v>7076.1</v>
          </cell>
          <cell r="I13">
            <v>1038.04</v>
          </cell>
          <cell r="J13">
            <v>7133.84</v>
          </cell>
          <cell r="K13">
            <v>1068.96</v>
          </cell>
          <cell r="L13">
            <v>7192.049999999999</v>
          </cell>
          <cell r="M13">
            <v>1031.2399999999998</v>
          </cell>
          <cell r="N13">
            <v>7250.74</v>
          </cell>
          <cell r="O13">
            <v>1061.6999999999998</v>
          </cell>
          <cell r="P13">
            <v>7309.91</v>
          </cell>
          <cell r="Q13">
            <v>1057.87</v>
          </cell>
          <cell r="R13">
            <v>7369.549999999999</v>
          </cell>
          <cell r="S13">
            <v>1020.1199999999999</v>
          </cell>
          <cell r="T13">
            <v>7429.6900000000005</v>
          </cell>
          <cell r="U13">
            <v>1049.81</v>
          </cell>
          <cell r="V13">
            <v>7490.32</v>
          </cell>
          <cell r="W13">
            <v>1012.0499999999998</v>
          </cell>
          <cell r="X13">
            <v>7551.4400000000005</v>
          </cell>
          <cell r="Y13">
            <v>1041.19</v>
          </cell>
        </row>
        <row r="14">
          <cell r="B14">
            <v>7608.1900000000005</v>
          </cell>
          <cell r="C14">
            <v>1036.01</v>
          </cell>
          <cell r="D14">
            <v>9473.439999999999</v>
          </cell>
          <cell r="E14">
            <v>931.5799999999999</v>
          </cell>
          <cell r="F14">
            <v>9530.869999999999</v>
          </cell>
          <cell r="G14">
            <v>1022.1199999999999</v>
          </cell>
          <cell r="H14">
            <v>9588.56</v>
          </cell>
          <cell r="I14">
            <v>980.91</v>
          </cell>
          <cell r="J14">
            <v>9646.49</v>
          </cell>
          <cell r="K14">
            <v>1004.5</v>
          </cell>
          <cell r="L14">
            <v>9704.669999999998</v>
          </cell>
          <cell r="M14">
            <v>963.5300000000001</v>
          </cell>
          <cell r="N14">
            <v>9763.09</v>
          </cell>
          <cell r="O14">
            <v>986.2</v>
          </cell>
          <cell r="P14">
            <v>9821.75</v>
          </cell>
          <cell r="Q14">
            <v>976.8000000000001</v>
          </cell>
          <cell r="R14">
            <v>9880.64</v>
          </cell>
          <cell r="S14">
            <v>936.22</v>
          </cell>
          <cell r="T14">
            <v>9939.77</v>
          </cell>
          <cell r="U14">
            <v>957.48</v>
          </cell>
          <cell r="V14">
            <v>9999.119999999999</v>
          </cell>
          <cell r="W14">
            <v>917.18</v>
          </cell>
          <cell r="X14">
            <v>10058.7</v>
          </cell>
          <cell r="Y14">
            <v>937.47</v>
          </cell>
        </row>
        <row r="15">
          <cell r="B15">
            <v>10114.8</v>
          </cell>
          <cell r="C15">
            <v>926.76</v>
          </cell>
          <cell r="D15">
            <v>10171.06</v>
          </cell>
          <cell r="E15">
            <v>827.7900000000001</v>
          </cell>
          <cell r="F15">
            <v>10227.5</v>
          </cell>
          <cell r="G15">
            <v>904.83</v>
          </cell>
          <cell r="H15">
            <v>10284.099999999999</v>
          </cell>
          <cell r="I15">
            <v>864.9499999999999</v>
          </cell>
          <cell r="J15">
            <v>10340.849999999999</v>
          </cell>
          <cell r="K15">
            <v>882.2</v>
          </cell>
          <cell r="L15">
            <v>10397.75</v>
          </cell>
          <cell r="M15">
            <v>842.7099999999999</v>
          </cell>
          <cell r="N15">
            <v>10454.8</v>
          </cell>
          <cell r="O15">
            <v>858.86</v>
          </cell>
          <cell r="P15">
            <v>10511.97</v>
          </cell>
          <cell r="Q15">
            <v>846.92</v>
          </cell>
          <cell r="R15">
            <v>10569.279999999999</v>
          </cell>
          <cell r="S15">
            <v>808.0400000000001</v>
          </cell>
          <cell r="T15">
            <v>10626.7</v>
          </cell>
          <cell r="U15">
            <v>822.49</v>
          </cell>
          <cell r="V15">
            <v>10684.23</v>
          </cell>
          <cell r="W15">
            <v>784.04</v>
          </cell>
          <cell r="X15">
            <v>10741.86</v>
          </cell>
          <cell r="Y15">
            <v>797.32</v>
          </cell>
        </row>
        <row r="16">
          <cell r="B16">
            <v>10799.57</v>
          </cell>
          <cell r="C16">
            <v>784.45</v>
          </cell>
          <cell r="D16">
            <v>10857.369999999999</v>
          </cell>
          <cell r="E16">
            <v>721.9399999999999</v>
          </cell>
          <cell r="F16">
            <v>10915.23</v>
          </cell>
          <cell r="G16">
            <v>758.14</v>
          </cell>
          <cell r="H16">
            <v>10973.14</v>
          </cell>
          <cell r="I16">
            <v>720.82</v>
          </cell>
          <cell r="J16">
            <v>11031.09</v>
          </cell>
          <cell r="K16">
            <v>731.05</v>
          </cell>
          <cell r="L16">
            <v>11089.07</v>
          </cell>
          <cell r="M16">
            <v>694.23</v>
          </cell>
          <cell r="N16">
            <v>11147.06</v>
          </cell>
          <cell r="O16">
            <v>703.19</v>
          </cell>
          <cell r="P16">
            <v>11205.039999999999</v>
          </cell>
          <cell r="Q16">
            <v>688.9599999999999</v>
          </cell>
          <cell r="R16">
            <v>11263</v>
          </cell>
          <cell r="S16">
            <v>652.9000000000001</v>
          </cell>
          <cell r="T16">
            <v>11320.919999999998</v>
          </cell>
          <cell r="U16">
            <v>659.9</v>
          </cell>
          <cell r="V16">
            <v>11378.77</v>
          </cell>
          <cell r="W16">
            <v>624.39</v>
          </cell>
          <cell r="X16">
            <v>11436.539999999999</v>
          </cell>
          <cell r="Y16">
            <v>630.03</v>
          </cell>
        </row>
        <row r="17">
          <cell r="B17">
            <v>11494.2</v>
          </cell>
          <cell r="C17">
            <v>614.7800000000001</v>
          </cell>
          <cell r="D17">
            <v>11551.74</v>
          </cell>
          <cell r="E17">
            <v>541.7</v>
          </cell>
          <cell r="F17">
            <v>11609.11</v>
          </cell>
          <cell r="G17">
            <v>583.67</v>
          </cell>
          <cell r="H17">
            <v>11666.3</v>
          </cell>
          <cell r="I17">
            <v>549.6</v>
          </cell>
          <cell r="J17">
            <v>11723.259999999998</v>
          </cell>
          <cell r="K17">
            <v>551.7299999999999</v>
          </cell>
          <cell r="L17">
            <v>11779.98</v>
          </cell>
          <cell r="M17">
            <v>518.2700000000001</v>
          </cell>
          <cell r="N17">
            <v>11836.41</v>
          </cell>
          <cell r="O17">
            <v>518.94</v>
          </cell>
          <cell r="P17">
            <v>11892.509999999998</v>
          </cell>
          <cell r="Q17">
            <v>502.22</v>
          </cell>
          <cell r="R17">
            <v>11948.23</v>
          </cell>
          <cell r="S17">
            <v>469.74</v>
          </cell>
          <cell r="T17">
            <v>12003.539999999999</v>
          </cell>
          <cell r="U17">
            <v>468.14000000000004</v>
          </cell>
          <cell r="V17">
            <v>12058.38</v>
          </cell>
          <cell r="W17">
            <v>436.33</v>
          </cell>
          <cell r="X17">
            <v>12112.7</v>
          </cell>
          <cell r="Y17">
            <v>433.2</v>
          </cell>
        </row>
        <row r="18">
          <cell r="B18">
            <v>12927.629999999373</v>
          </cell>
          <cell r="C18">
            <v>415.40999999999997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LA-PAZ-Comparativa-2011-ACTUAL-"/>
    </sheetNames>
    <sheetDataSet>
      <sheetData sheetId="1">
        <row r="10">
          <cell r="I10">
            <v>803957.3699712101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 (2011-2015)"/>
      <sheetName val="Comparativa STOCK"/>
      <sheetName val="JUNÍN-Comparativa-2011-ACTUAL-2"/>
    </sheetNames>
    <sheetDataSet>
      <sheetData sheetId="0">
        <row r="10">
          <cell r="I10">
            <v>1238542.3024292002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GUAYMALLÉN-Comparativa-2011-ACT"/>
    </sheetNames>
    <sheetDataSet>
      <sheetData sheetId="1">
        <row r="10">
          <cell r="I10">
            <v>12891922.671751276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GODOY-CRUZ-Comparativa-2011-ACT"/>
    </sheetNames>
    <sheetDataSet>
      <sheetData sheetId="1">
        <row r="10">
          <cell r="I10">
            <v>15806522.70447895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GENERAL-ALVEAR-Comparativa-2011"/>
    </sheetNames>
    <sheetDataSet>
      <sheetData sheetId="1">
        <row r="10">
          <cell r="I10">
            <v>3759610.916395898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</sheetNames>
    <sheetDataSet>
      <sheetData sheetId="1">
        <row r="10">
          <cell r="I10">
            <v>11885164.629999999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Pagos 2011"/>
      <sheetName val="Pagos 2012"/>
      <sheetName val="Flujos Vencimientos"/>
      <sheetName val="Programación Financiera"/>
      <sheetName val="Stock estimado"/>
      <sheetName val="GUAYMALLÉN-Banco-Nación-Argenti"/>
    </sheetNames>
    <sheetDataSet>
      <sheetData sheetId="5">
        <row r="13">
          <cell r="B13">
            <v>103176.26</v>
          </cell>
          <cell r="C13">
            <v>114034.78</v>
          </cell>
          <cell r="D13">
            <v>104723.91</v>
          </cell>
          <cell r="E13">
            <v>112487.14</v>
          </cell>
          <cell r="F13">
            <v>106294.77</v>
          </cell>
          <cell r="G13">
            <v>110916.28</v>
          </cell>
          <cell r="H13">
            <v>107889.19</v>
          </cell>
          <cell r="I13">
            <v>109321.86</v>
          </cell>
          <cell r="J13">
            <v>109507.53</v>
          </cell>
          <cell r="K13">
            <v>107703.52</v>
          </cell>
          <cell r="L13">
            <v>111150.14</v>
          </cell>
          <cell r="M13">
            <v>106060.91</v>
          </cell>
          <cell r="N13">
            <v>112817.39</v>
          </cell>
          <cell r="O13">
            <v>104393.66</v>
          </cell>
          <cell r="P13">
            <v>114509.65</v>
          </cell>
          <cell r="Q13">
            <v>102701.4</v>
          </cell>
          <cell r="R13">
            <v>116227.3</v>
          </cell>
          <cell r="S13">
            <v>100983.75</v>
          </cell>
          <cell r="T13">
            <v>117970.71</v>
          </cell>
          <cell r="U13">
            <v>99240.34</v>
          </cell>
          <cell r="V13">
            <v>119740.27</v>
          </cell>
          <cell r="W13">
            <v>97470.78</v>
          </cell>
          <cell r="X13">
            <v>121536.37</v>
          </cell>
          <cell r="Y13">
            <v>95674.68</v>
          </cell>
        </row>
        <row r="14">
          <cell r="B14">
            <v>123359.42</v>
          </cell>
          <cell r="C14">
            <v>93851.63</v>
          </cell>
          <cell r="D14">
            <v>125209.81</v>
          </cell>
          <cell r="E14">
            <v>92001.24</v>
          </cell>
          <cell r="F14">
            <v>127087.96</v>
          </cell>
          <cell r="G14">
            <v>90123.09</v>
          </cell>
          <cell r="H14">
            <v>128994.27</v>
          </cell>
          <cell r="I14">
            <v>88216.77</v>
          </cell>
          <cell r="J14">
            <v>130929.19</v>
          </cell>
          <cell r="K14">
            <v>86281.86</v>
          </cell>
          <cell r="L14">
            <v>132893.13</v>
          </cell>
          <cell r="M14">
            <v>84317.92</v>
          </cell>
          <cell r="N14">
            <v>134886.52</v>
          </cell>
          <cell r="O14">
            <v>82324.53</v>
          </cell>
          <cell r="P14">
            <v>136909.82</v>
          </cell>
          <cell r="Q14">
            <v>80301.23</v>
          </cell>
          <cell r="R14">
            <v>138963.47</v>
          </cell>
          <cell r="S14">
            <v>78247.58</v>
          </cell>
          <cell r="T14">
            <v>141047.92</v>
          </cell>
          <cell r="U14">
            <v>76163.13</v>
          </cell>
          <cell r="V14">
            <v>143163.64</v>
          </cell>
          <cell r="W14">
            <v>74047.41</v>
          </cell>
          <cell r="X14">
            <v>145311.09</v>
          </cell>
          <cell r="Y14">
            <v>71899.96</v>
          </cell>
        </row>
        <row r="15">
          <cell r="B15">
            <v>147490.76</v>
          </cell>
          <cell r="C15">
            <v>69720.29</v>
          </cell>
          <cell r="D15">
            <v>149703.12</v>
          </cell>
          <cell r="E15">
            <v>67507.93</v>
          </cell>
          <cell r="F15">
            <v>151948.67</v>
          </cell>
          <cell r="G15">
            <v>65262.37999999999</v>
          </cell>
          <cell r="H15">
            <v>154227.9</v>
          </cell>
          <cell r="I15">
            <v>62983.15</v>
          </cell>
          <cell r="J15">
            <v>156541.32</v>
          </cell>
          <cell r="K15">
            <v>60669.73</v>
          </cell>
          <cell r="L15">
            <v>158889.44</v>
          </cell>
          <cell r="M15">
            <v>58321.61</v>
          </cell>
          <cell r="N15">
            <v>161272.78</v>
          </cell>
          <cell r="O15">
            <v>55938.27</v>
          </cell>
          <cell r="P15">
            <v>163691.87</v>
          </cell>
          <cell r="Q15">
            <v>53519.18</v>
          </cell>
          <cell r="R15">
            <v>166147.25</v>
          </cell>
          <cell r="S15">
            <v>51063.8</v>
          </cell>
          <cell r="T15">
            <v>168639.46</v>
          </cell>
          <cell r="U15">
            <v>48571.59</v>
          </cell>
          <cell r="V15">
            <v>171169.05</v>
          </cell>
          <cell r="W15">
            <v>46042</v>
          </cell>
          <cell r="X15">
            <v>173736.58</v>
          </cell>
          <cell r="Y15">
            <v>43474.46</v>
          </cell>
        </row>
        <row r="16">
          <cell r="B16">
            <v>176342.63</v>
          </cell>
          <cell r="C16">
            <v>40868.42</v>
          </cell>
          <cell r="D16">
            <v>178987.77</v>
          </cell>
          <cell r="E16">
            <v>38223.28</v>
          </cell>
          <cell r="F16">
            <v>181672.59</v>
          </cell>
          <cell r="G16">
            <v>35538.46</v>
          </cell>
          <cell r="H16">
            <v>184397.68</v>
          </cell>
          <cell r="I16">
            <v>32813.37</v>
          </cell>
          <cell r="J16">
            <v>187163.64</v>
          </cell>
          <cell r="K16">
            <v>30047.41</v>
          </cell>
          <cell r="L16">
            <v>189971.1</v>
          </cell>
          <cell r="M16">
            <v>27239.95</v>
          </cell>
          <cell r="N16">
            <v>192820.67</v>
          </cell>
          <cell r="O16">
            <v>24390.38</v>
          </cell>
          <cell r="P16">
            <v>195712.98</v>
          </cell>
          <cell r="Q16">
            <v>21498.07</v>
          </cell>
          <cell r="R16">
            <v>198648.67</v>
          </cell>
          <cell r="S16">
            <v>18562.38</v>
          </cell>
          <cell r="T16">
            <v>201628.4</v>
          </cell>
          <cell r="U16">
            <v>15582.65</v>
          </cell>
          <cell r="V16">
            <v>204652.82</v>
          </cell>
          <cell r="W16">
            <v>12558.22</v>
          </cell>
          <cell r="X16">
            <v>207722.62</v>
          </cell>
          <cell r="Y16">
            <v>9488.43</v>
          </cell>
        </row>
        <row r="17">
          <cell r="B17">
            <v>210838.46</v>
          </cell>
          <cell r="C17">
            <v>6372.59</v>
          </cell>
          <cell r="D17">
            <v>214001.03</v>
          </cell>
          <cell r="E17">
            <v>3210.02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TUPUNGATO-Comparativa-2011-ACTU"/>
    </sheetNames>
    <sheetDataSet>
      <sheetData sheetId="1">
        <row r="10">
          <cell r="I10">
            <v>590160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SANTA-ROSA-Comparativa-2011-ACT"/>
    </sheetNames>
    <sheetDataSet>
      <sheetData sheetId="1">
        <row r="10">
          <cell r="I10">
            <v>1151640.4406548664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TUNUYÁN-Comparativa-2011-ACTUAL"/>
    </sheetNames>
    <sheetDataSet>
      <sheetData sheetId="1">
        <row r="10">
          <cell r="I10">
            <v>12858162.812885836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álculo Deuda"/>
      <sheetName val="Evolución"/>
      <sheetName val="Flujo vencimientos"/>
      <sheetName val="Flujo para el libro"/>
      <sheetName val="Stock Estimado"/>
      <sheetName val="Liquidación"/>
    </sheetNames>
    <sheetDataSet>
      <sheetData sheetId="1">
        <row r="64">
          <cell r="I64">
            <v>735.57</v>
          </cell>
          <cell r="J64">
            <v>10654.08</v>
          </cell>
          <cell r="L64">
            <v>138502.97000000032</v>
          </cell>
        </row>
      </sheetData>
      <sheetData sheetId="3">
        <row r="13">
          <cell r="B13">
            <v>10654.08</v>
          </cell>
          <cell r="C13">
            <v>651.5</v>
          </cell>
          <cell r="D13">
            <v>10654.07</v>
          </cell>
          <cell r="E13">
            <v>558.68</v>
          </cell>
          <cell r="F13">
            <v>10654.08</v>
          </cell>
          <cell r="G13">
            <v>542.92</v>
          </cell>
          <cell r="H13">
            <v>10654.07</v>
          </cell>
          <cell r="I13">
            <v>472.87</v>
          </cell>
          <cell r="J13">
            <v>10654.08</v>
          </cell>
          <cell r="K13">
            <v>434.34</v>
          </cell>
          <cell r="L13">
            <v>10654.07</v>
          </cell>
          <cell r="M13">
            <v>367.78</v>
          </cell>
          <cell r="N13">
            <v>10654.08</v>
          </cell>
          <cell r="O13">
            <v>325.75</v>
          </cell>
          <cell r="P13">
            <v>10654.07</v>
          </cell>
          <cell r="Q13">
            <v>271.46</v>
          </cell>
          <cell r="R13">
            <v>10654.08</v>
          </cell>
          <cell r="S13">
            <v>210.16</v>
          </cell>
          <cell r="T13">
            <v>10654.07</v>
          </cell>
          <cell r="U13">
            <v>162.88</v>
          </cell>
          <cell r="V13">
            <v>10654.08</v>
          </cell>
          <cell r="W13">
            <v>105.08</v>
          </cell>
          <cell r="X13">
            <v>10708.359999999999</v>
          </cell>
          <cell r="Y13">
            <v>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SAN-RAFAEL-Comparativa-2011-ACT"/>
    </sheetNames>
    <sheetDataSet>
      <sheetData sheetId="1">
        <row r="10">
          <cell r="I10">
            <v>3336201.4552985313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SAN-MARTÍN-Comparativa-2011-ACT"/>
      <sheetName val="Evolución"/>
    </sheetNames>
    <sheetDataSet>
      <sheetData sheetId="1">
        <row r="10">
          <cell r="I10">
            <v>8440020.8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SAN-CARLOS-Comparativa-2011-ACT"/>
    </sheetNames>
    <sheetDataSet>
      <sheetData sheetId="1">
        <row r="10">
          <cell r="I10">
            <v>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RIVADAVIA-Comparativa-2011-ACTU"/>
    </sheetNames>
    <sheetDataSet>
      <sheetData sheetId="1">
        <row r="10">
          <cell r="I10">
            <v>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MALARGUE-Comparativa-2011-ACTUA"/>
    </sheetNames>
    <sheetDataSet>
      <sheetData sheetId="1">
        <row r="10">
          <cell r="I10">
            <v>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MAIPÚ-Comparativa-2011-ACTUAL-2"/>
    </sheetNames>
    <sheetDataSet>
      <sheetData sheetId="1">
        <row r="10">
          <cell r="I10">
            <v>4956874.133547882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STOCK"/>
      <sheetName val="Comparativa STOCK (2011-2015)"/>
      <sheetName val="LUJÁN-Comparativa-2011-ACTUAL-2"/>
    </sheetNames>
    <sheetDataSet>
      <sheetData sheetId="1">
        <row r="10">
          <cell r="I10">
            <v>5944416.750000002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upones desde el 1 al 29"/>
      <sheetName val="Cupones desde el 30 al 43"/>
      <sheetName val="Detalle para CGP (Cupón 94) "/>
      <sheetName val="HTC - Observación 81"/>
      <sheetName val="Detalle para CGP (Cupón 52)"/>
      <sheetName val="Detalle de Convenios"/>
      <sheetName val="Detalle para CGP (Cupón 89) "/>
      <sheetName val="Detalle para CGP (Cupón 90)"/>
      <sheetName val="Detalle para CGP (Cupón 91) "/>
      <sheetName val="Cupón 90 (Municipios)"/>
      <sheetName val="Cupón 91 (Municipios) "/>
      <sheetName val="Detalle para CGP (Cupón 92) "/>
      <sheetName val="Cupón 92 (Municipios)  "/>
      <sheetName val="Detalle para CGP (Cupón 93)"/>
      <sheetName val="Cupón 93 (Municipios)"/>
      <sheetName val="Cupón 94 (Municipios) "/>
      <sheetName val="Cupones desde el 43 al 185"/>
      <sheetName val="Detalle para CGP (Cupón 126)"/>
      <sheetName val="Detalle para CGP (Cupón 125)"/>
      <sheetName val="Detalle para CGP (Cupón 124)"/>
      <sheetName val="Detalle para CGP (Cupón 123)"/>
      <sheetName val="Detalle para CGP (Cupón 122)"/>
      <sheetName val="Detalle para CGP (Cupón 121)"/>
      <sheetName val="Detalle para CGP (Cupón 120)"/>
      <sheetName val="Detalle para CGP (Cupón 119)"/>
      <sheetName val="Detalle para CGP (Cupón 118)"/>
      <sheetName val="Detalle para CGP (Cupón 117"/>
      <sheetName val="Detalle para CGP (Cupón 116)"/>
      <sheetName val="Cupón 116 (Municipios)"/>
      <sheetName val="Cupón 115 (Municipios) "/>
      <sheetName val="Detalle para CGP (Cupón 115)"/>
      <sheetName val="Detalle para CGP (Cupón 114)"/>
      <sheetName val="Cupón 114 (Municipios)  "/>
      <sheetName val="Detalle para CGP (Cupón 113)"/>
      <sheetName val="Cupón 113 (Municipios) "/>
      <sheetName val="Detalle para CGP (Cupón 112)"/>
      <sheetName val="Cupón 112 (Municipios) "/>
      <sheetName val="Detalle para CGP (Cupón 111)"/>
      <sheetName val="Cupón 111 (Municipios)"/>
      <sheetName val="Detalle para CGP (Cupón 110)"/>
      <sheetName val="Cupón 110 (Municipios)"/>
      <sheetName val="Detalle para CGP (Cupón 109)"/>
      <sheetName val="Cupón 109 (Municipios)"/>
      <sheetName val="Detalle para CGP (Cupón 108)"/>
      <sheetName val="Cupón 108 (Municipios)"/>
      <sheetName val="Detalle para CGP (Cupón 107"/>
      <sheetName val="Cupón 107 (Municipios)"/>
      <sheetName val="Detalle para CGP (Cupón 106)"/>
      <sheetName val="Cupón 106 (Municipios) "/>
      <sheetName val="Detalle para CGP (Cupón 105)"/>
      <sheetName val="Cupón 105 (Municipios)"/>
      <sheetName val="Detalle para CGP (Cupón 104)"/>
      <sheetName val="Cupón 104 (Municipios)"/>
      <sheetName val="Detalle para CGP (Cupón 103)"/>
      <sheetName val="Cupón 103 (Municipios) "/>
      <sheetName val="Detalle para CGP (Cupón 102)"/>
      <sheetName val="Cupón 102 (Municipios)"/>
      <sheetName val="Detalle para CGP (Cupón 101)"/>
      <sheetName val="Cupón 101 (Municipios) "/>
      <sheetName val="Detalle para CGP (Cupón 100)"/>
      <sheetName val="Cupón 100 (Municipios) "/>
      <sheetName val="Detalle para CGP (Cupón 99)"/>
      <sheetName val="Cupón 99 (Municipios)"/>
      <sheetName val="Detalle para CGP (Cupón 98) "/>
      <sheetName val="Cupón 98 (Municipios)     "/>
      <sheetName val="Detalle para CGP (Cupón 97) "/>
      <sheetName val="Cupón 97 (Municipios)    "/>
      <sheetName val="Detalle para CGP (Cupón 96) "/>
      <sheetName val="Cupón 96 (Municipios)   "/>
      <sheetName val="Detalle para CGP (Cupón 95) "/>
      <sheetName val="Cupón 95 (Municipios)  "/>
      <sheetName val="1500010043"/>
      <sheetName val="Conciliación"/>
      <sheetName val="ANEXO II"/>
      <sheetName val="ANEXO VI"/>
      <sheetName val="Ver por favor esta planilla"/>
      <sheetName val="Para pasar a Nota"/>
      <sheetName val="Municipios cupón 30 en adelante"/>
      <sheetName val="Detalle"/>
      <sheetName val="Proyecciones Municipales"/>
      <sheetName val="LIQUIDACIONES-Canje-Entidades-F"/>
      <sheetName val="Evolución"/>
      <sheetName val="Cupón 1121 (Municipios)"/>
      <sheetName val="Detalle para CGP (Cupón 1219)"/>
      <sheetName val="Detalle para CGP (Cupón 12019)"/>
      <sheetName val="Detalle para CGP (Cupón 126"/>
      <sheetName val="Detalle para CGP (Cupón 127)"/>
    </sheetNames>
    <sheetDataSet>
      <sheetData sheetId="20">
        <row r="7">
          <cell r="E7">
            <v>3.1531</v>
          </cell>
          <cell r="G7" t="str">
            <v>Ajuste (136,3643178%)</v>
          </cell>
        </row>
        <row r="13">
          <cell r="D13">
            <v>4303048.539999997</v>
          </cell>
          <cell r="E13">
            <v>10170871.136808401</v>
          </cell>
          <cell r="F13">
            <v>45940.02</v>
          </cell>
          <cell r="G13">
            <v>62645.8</v>
          </cell>
          <cell r="H13">
            <v>16719.24</v>
          </cell>
        </row>
        <row r="14">
          <cell r="D14">
            <v>267405.2199999998</v>
          </cell>
          <cell r="E14">
            <v>632050.5763798953</v>
          </cell>
          <cell r="F14">
            <v>2854.86</v>
          </cell>
          <cell r="G14">
            <v>3893.01</v>
          </cell>
          <cell r="H14">
            <v>1038.9899999999943</v>
          </cell>
          <cell r="K14">
            <v>7786.859999999995</v>
          </cell>
        </row>
      </sheetData>
      <sheetData sheetId="21">
        <row r="14">
          <cell r="K14">
            <v>7769.109999999999</v>
          </cell>
        </row>
      </sheetData>
      <sheetData sheetId="24">
        <row r="12">
          <cell r="K12">
            <v>203813.43</v>
          </cell>
        </row>
        <row r="14">
          <cell r="K14">
            <v>7611.340000000001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Evolución"/>
      <sheetName val="Pagos 2013"/>
      <sheetName val="Flujo vencimientos"/>
      <sheetName val="Stock Estimado"/>
      <sheetName val="Diferencias 2012"/>
      <sheetName val="ajuste"/>
      <sheetName val="Diferencias"/>
    </sheetNames>
    <sheetDataSet>
      <sheetData sheetId="3">
        <row r="13">
          <cell r="B13">
            <v>50262.6</v>
          </cell>
          <cell r="C13">
            <v>60824.11</v>
          </cell>
          <cell r="D13">
            <v>50262.6</v>
          </cell>
          <cell r="E13">
            <v>54706.56</v>
          </cell>
          <cell r="F13">
            <v>50262.6</v>
          </cell>
          <cell r="G13">
            <v>60311.84</v>
          </cell>
          <cell r="H13">
            <v>50262.6</v>
          </cell>
          <cell r="I13">
            <v>58118.43</v>
          </cell>
          <cell r="J13">
            <v>50262.6</v>
          </cell>
          <cell r="K13">
            <v>59799.58</v>
          </cell>
          <cell r="L13">
            <v>50262.6</v>
          </cell>
          <cell r="M13">
            <v>57622.69</v>
          </cell>
          <cell r="N13">
            <v>50262.6</v>
          </cell>
          <cell r="O13">
            <v>59287.31</v>
          </cell>
          <cell r="P13">
            <v>50262.6</v>
          </cell>
          <cell r="Q13">
            <v>59031.18</v>
          </cell>
          <cell r="R13">
            <v>50262.6</v>
          </cell>
          <cell r="S13">
            <v>56879.08</v>
          </cell>
          <cell r="T13">
            <v>50262.6</v>
          </cell>
          <cell r="U13">
            <v>58518.91</v>
          </cell>
          <cell r="V13">
            <v>50262.6</v>
          </cell>
          <cell r="W13">
            <v>56383.34</v>
          </cell>
          <cell r="X13">
            <v>50262.6</v>
          </cell>
          <cell r="Y13">
            <v>58006.65</v>
          </cell>
        </row>
        <row r="14">
          <cell r="B14">
            <v>50262.6</v>
          </cell>
          <cell r="C14">
            <v>57750.52</v>
          </cell>
          <cell r="D14">
            <v>50262.6</v>
          </cell>
          <cell r="E14">
            <v>51930.41</v>
          </cell>
          <cell r="F14">
            <v>50262.6</v>
          </cell>
          <cell r="G14">
            <v>57238.25</v>
          </cell>
          <cell r="H14">
            <v>50262.6</v>
          </cell>
          <cell r="I14">
            <v>55143.99</v>
          </cell>
          <cell r="J14">
            <v>50262.6</v>
          </cell>
          <cell r="K14">
            <v>56725.99</v>
          </cell>
          <cell r="L14">
            <v>50262.6</v>
          </cell>
          <cell r="M14">
            <v>54648.24</v>
          </cell>
          <cell r="N14">
            <v>50262.6</v>
          </cell>
          <cell r="O14">
            <v>56213.72</v>
          </cell>
          <cell r="P14">
            <v>50262.6</v>
          </cell>
          <cell r="Q14">
            <v>55957.59</v>
          </cell>
          <cell r="R14">
            <v>50262.6</v>
          </cell>
          <cell r="S14">
            <v>53904.63</v>
          </cell>
          <cell r="T14">
            <v>50262.6</v>
          </cell>
          <cell r="U14">
            <v>55445.32</v>
          </cell>
          <cell r="V14">
            <v>50262.6</v>
          </cell>
          <cell r="W14">
            <v>53408.89</v>
          </cell>
          <cell r="X14">
            <v>50262.6</v>
          </cell>
          <cell r="Y14">
            <v>54933.06</v>
          </cell>
        </row>
        <row r="15">
          <cell r="B15">
            <v>50262.6</v>
          </cell>
          <cell r="C15">
            <v>54676.92</v>
          </cell>
          <cell r="D15">
            <v>50262.6</v>
          </cell>
          <cell r="E15">
            <v>49154.26</v>
          </cell>
          <cell r="F15">
            <v>50262.6</v>
          </cell>
          <cell r="G15">
            <v>54164.66</v>
          </cell>
          <cell r="H15">
            <v>50262.6</v>
          </cell>
          <cell r="I15">
            <v>52169.54</v>
          </cell>
          <cell r="J15">
            <v>50262.6</v>
          </cell>
          <cell r="K15">
            <v>53652.39</v>
          </cell>
          <cell r="L15">
            <v>50262.6</v>
          </cell>
          <cell r="M15">
            <v>51673.8</v>
          </cell>
          <cell r="N15">
            <v>50262.6</v>
          </cell>
          <cell r="O15">
            <v>53140.13</v>
          </cell>
          <cell r="P15">
            <v>50262.6</v>
          </cell>
          <cell r="Q15">
            <v>52883.99</v>
          </cell>
          <cell r="R15">
            <v>50262.6</v>
          </cell>
          <cell r="S15">
            <v>50930.19</v>
          </cell>
          <cell r="T15">
            <v>50262.6</v>
          </cell>
          <cell r="U15">
            <v>52371.73</v>
          </cell>
          <cell r="V15">
            <v>50262.6</v>
          </cell>
          <cell r="W15">
            <v>50434.45</v>
          </cell>
          <cell r="X15">
            <v>50262.6</v>
          </cell>
          <cell r="Y15">
            <v>51859.46</v>
          </cell>
        </row>
        <row r="16">
          <cell r="B16">
            <v>50262.6</v>
          </cell>
          <cell r="C16">
            <v>51603.33</v>
          </cell>
          <cell r="D16">
            <v>50262.6</v>
          </cell>
          <cell r="E16">
            <v>48034.48</v>
          </cell>
          <cell r="F16">
            <v>50262.6</v>
          </cell>
          <cell r="G16">
            <v>51091.07</v>
          </cell>
          <cell r="H16">
            <v>50262.6</v>
          </cell>
          <cell r="I16">
            <v>49195.1</v>
          </cell>
          <cell r="J16">
            <v>50262.6</v>
          </cell>
          <cell r="K16">
            <v>50578.8</v>
          </cell>
          <cell r="L16">
            <v>50262.6</v>
          </cell>
          <cell r="M16">
            <v>48699.36</v>
          </cell>
          <cell r="N16">
            <v>50262.6</v>
          </cell>
          <cell r="O16">
            <v>50066.54</v>
          </cell>
          <cell r="P16">
            <v>50262.6</v>
          </cell>
          <cell r="Q16">
            <v>49810.4</v>
          </cell>
          <cell r="R16">
            <v>50262.6</v>
          </cell>
          <cell r="S16">
            <v>47955.74</v>
          </cell>
          <cell r="T16">
            <v>50262.6</v>
          </cell>
          <cell r="U16">
            <v>49298.14</v>
          </cell>
          <cell r="V16">
            <v>50262.6</v>
          </cell>
          <cell r="W16">
            <v>47460</v>
          </cell>
          <cell r="X16">
            <v>50262.6</v>
          </cell>
          <cell r="Y16">
            <v>48785.87</v>
          </cell>
        </row>
        <row r="17">
          <cell r="B17">
            <v>50262.6</v>
          </cell>
          <cell r="C17">
            <v>48529.74</v>
          </cell>
          <cell r="D17">
            <v>50262.6</v>
          </cell>
          <cell r="E17">
            <v>43601.97</v>
          </cell>
          <cell r="F17">
            <v>50262.6</v>
          </cell>
          <cell r="G17">
            <v>48017.47</v>
          </cell>
          <cell r="H17">
            <v>50262.6</v>
          </cell>
          <cell r="I17">
            <v>46220.65</v>
          </cell>
          <cell r="J17">
            <v>50262.6</v>
          </cell>
          <cell r="K17">
            <v>47505.21</v>
          </cell>
          <cell r="L17">
            <v>50262.6</v>
          </cell>
          <cell r="M17">
            <v>45724.91</v>
          </cell>
          <cell r="N17">
            <v>50262.6</v>
          </cell>
          <cell r="O17">
            <v>46992.94</v>
          </cell>
          <cell r="P17">
            <v>50262.6</v>
          </cell>
          <cell r="Q17">
            <v>46736.81</v>
          </cell>
          <cell r="R17">
            <v>50262.6</v>
          </cell>
          <cell r="S17">
            <v>44981.3</v>
          </cell>
          <cell r="T17">
            <v>50262.6</v>
          </cell>
          <cell r="U17">
            <v>46224.54</v>
          </cell>
          <cell r="V17">
            <v>50262.6</v>
          </cell>
          <cell r="W17">
            <v>44485.56</v>
          </cell>
          <cell r="X17">
            <v>50262.6</v>
          </cell>
          <cell r="Y17">
            <v>45712.28</v>
          </cell>
        </row>
        <row r="18">
          <cell r="B18">
            <v>50262.6</v>
          </cell>
          <cell r="C18">
            <v>45456.15</v>
          </cell>
          <cell r="D18">
            <v>50262.6</v>
          </cell>
          <cell r="E18">
            <v>40825.82</v>
          </cell>
          <cell r="F18">
            <v>50262.6</v>
          </cell>
          <cell r="G18">
            <v>44943.88</v>
          </cell>
          <cell r="H18">
            <v>50262.6</v>
          </cell>
          <cell r="I18">
            <v>43246.21</v>
          </cell>
          <cell r="J18">
            <v>50262.6</v>
          </cell>
          <cell r="K18">
            <v>44431.62</v>
          </cell>
          <cell r="L18">
            <v>50262.6</v>
          </cell>
          <cell r="M18">
            <v>42750.47</v>
          </cell>
          <cell r="N18">
            <v>50262.6</v>
          </cell>
          <cell r="O18">
            <v>43919.35</v>
          </cell>
          <cell r="P18">
            <v>50262.6</v>
          </cell>
          <cell r="Q18">
            <v>43663.22</v>
          </cell>
          <cell r="R18">
            <v>50262.6</v>
          </cell>
          <cell r="S18">
            <v>42006.86</v>
          </cell>
          <cell r="T18">
            <v>50262.6</v>
          </cell>
          <cell r="U18">
            <v>43150.95</v>
          </cell>
          <cell r="V18">
            <v>50262.6</v>
          </cell>
          <cell r="W18">
            <v>41511.12</v>
          </cell>
          <cell r="X18">
            <v>50262.6</v>
          </cell>
          <cell r="Y18">
            <v>42638.69</v>
          </cell>
        </row>
        <row r="19">
          <cell r="B19">
            <v>50262.6</v>
          </cell>
          <cell r="C19">
            <v>42382.55</v>
          </cell>
          <cell r="D19">
            <v>50262.6</v>
          </cell>
          <cell r="E19">
            <v>38049.67</v>
          </cell>
          <cell r="F19">
            <v>50262.6</v>
          </cell>
          <cell r="G19">
            <v>41870.29</v>
          </cell>
          <cell r="H19">
            <v>50262.6</v>
          </cell>
          <cell r="I19">
            <v>40271.76</v>
          </cell>
          <cell r="J19">
            <v>50262.6</v>
          </cell>
          <cell r="K19">
            <v>41358.02</v>
          </cell>
          <cell r="L19">
            <v>50262.6</v>
          </cell>
          <cell r="M19">
            <v>39776.02</v>
          </cell>
          <cell r="N19">
            <v>50262.6</v>
          </cell>
          <cell r="O19">
            <v>40845.76</v>
          </cell>
          <cell r="P19">
            <v>50262.6</v>
          </cell>
          <cell r="Q19">
            <v>40589.63</v>
          </cell>
          <cell r="R19">
            <v>50262.6</v>
          </cell>
          <cell r="S19">
            <v>39032.41</v>
          </cell>
          <cell r="T19">
            <v>50262.6</v>
          </cell>
          <cell r="U19">
            <v>40077.36</v>
          </cell>
          <cell r="V19">
            <v>50262.6</v>
          </cell>
          <cell r="W19">
            <v>38536.67</v>
          </cell>
          <cell r="X19">
            <v>50262.6</v>
          </cell>
          <cell r="Y19">
            <v>39565.09</v>
          </cell>
        </row>
        <row r="20">
          <cell r="B20">
            <v>50262.6</v>
          </cell>
          <cell r="C20">
            <v>39308.96</v>
          </cell>
          <cell r="D20">
            <v>50262.6</v>
          </cell>
          <cell r="E20">
            <v>36533.29</v>
          </cell>
          <cell r="F20">
            <v>50262.6</v>
          </cell>
          <cell r="G20">
            <v>38796.7</v>
          </cell>
          <cell r="H20">
            <v>50262.6</v>
          </cell>
          <cell r="I20">
            <v>37297.32</v>
          </cell>
          <cell r="J20">
            <v>50262.6</v>
          </cell>
          <cell r="K20">
            <v>38284.43</v>
          </cell>
          <cell r="L20">
            <v>50262.6</v>
          </cell>
          <cell r="M20">
            <v>36801.58</v>
          </cell>
          <cell r="N20">
            <v>50262.6</v>
          </cell>
          <cell r="O20">
            <v>37772.17</v>
          </cell>
          <cell r="P20">
            <v>50262.6</v>
          </cell>
          <cell r="Q20">
            <v>37516.03</v>
          </cell>
          <cell r="R20">
            <v>50262.6</v>
          </cell>
          <cell r="S20">
            <v>36057.97</v>
          </cell>
          <cell r="T20">
            <v>50262.6</v>
          </cell>
          <cell r="U20">
            <v>37003.77</v>
          </cell>
          <cell r="V20">
            <v>50262.6</v>
          </cell>
          <cell r="W20">
            <v>35562.23</v>
          </cell>
          <cell r="X20">
            <v>50262.6</v>
          </cell>
          <cell r="Y20">
            <v>36491.5</v>
          </cell>
        </row>
        <row r="21">
          <cell r="B21">
            <v>50262.6</v>
          </cell>
          <cell r="C21">
            <v>36235.37</v>
          </cell>
          <cell r="D21">
            <v>50262.6</v>
          </cell>
          <cell r="E21">
            <v>32497.38</v>
          </cell>
          <cell r="F21">
            <v>50262.6</v>
          </cell>
          <cell r="G21">
            <v>35723.1</v>
          </cell>
          <cell r="H21">
            <v>50262.6</v>
          </cell>
          <cell r="I21">
            <v>34322.88</v>
          </cell>
          <cell r="J21">
            <v>50262.6</v>
          </cell>
          <cell r="K21">
            <v>35210.84</v>
          </cell>
          <cell r="L21">
            <v>50262.6</v>
          </cell>
          <cell r="M21">
            <v>33827.13</v>
          </cell>
          <cell r="N21">
            <v>50262.6</v>
          </cell>
          <cell r="O21">
            <v>34698.57</v>
          </cell>
          <cell r="P21">
            <v>50262.6</v>
          </cell>
          <cell r="Q21">
            <v>34442.44</v>
          </cell>
          <cell r="R21">
            <v>50262.6</v>
          </cell>
          <cell r="S21">
            <v>33083.52</v>
          </cell>
          <cell r="T21">
            <v>50262.6</v>
          </cell>
          <cell r="U21">
            <v>33930.18</v>
          </cell>
          <cell r="V21">
            <v>50262.6</v>
          </cell>
          <cell r="W21">
            <v>32587.78</v>
          </cell>
          <cell r="X21">
            <v>50262.6</v>
          </cell>
          <cell r="Y21">
            <v>33417.91</v>
          </cell>
        </row>
        <row r="22">
          <cell r="B22">
            <v>50262.6</v>
          </cell>
          <cell r="C22">
            <v>33161.78</v>
          </cell>
          <cell r="D22">
            <v>50262.6</v>
          </cell>
          <cell r="E22">
            <v>29721.23</v>
          </cell>
          <cell r="F22">
            <v>50262.6</v>
          </cell>
          <cell r="G22">
            <v>32649.51</v>
          </cell>
          <cell r="H22">
            <v>50262.6</v>
          </cell>
          <cell r="I22">
            <v>31348.43</v>
          </cell>
          <cell r="J22">
            <v>50262.6</v>
          </cell>
          <cell r="K22">
            <v>32137.25</v>
          </cell>
          <cell r="L22">
            <v>50262.6</v>
          </cell>
          <cell r="M22">
            <v>30852.69</v>
          </cell>
          <cell r="N22">
            <v>50262.6</v>
          </cell>
          <cell r="O22">
            <v>31624.98</v>
          </cell>
          <cell r="P22">
            <v>50262.6</v>
          </cell>
          <cell r="Q22">
            <v>31368.85</v>
          </cell>
          <cell r="R22">
            <v>50262.6</v>
          </cell>
          <cell r="S22">
            <v>30109.08</v>
          </cell>
          <cell r="T22">
            <v>50262.6</v>
          </cell>
          <cell r="U22">
            <v>30856.58</v>
          </cell>
          <cell r="V22">
            <v>50262.6</v>
          </cell>
          <cell r="W22">
            <v>29613.34</v>
          </cell>
          <cell r="X22">
            <v>50262.6</v>
          </cell>
          <cell r="Y22">
            <v>30344.32</v>
          </cell>
        </row>
        <row r="23">
          <cell r="B23">
            <v>50262.6</v>
          </cell>
          <cell r="C23">
            <v>30088.18</v>
          </cell>
          <cell r="D23">
            <v>50262.6</v>
          </cell>
          <cell r="E23">
            <v>26945.08</v>
          </cell>
          <cell r="F23">
            <v>50262.6</v>
          </cell>
          <cell r="G23">
            <v>29575.92</v>
          </cell>
          <cell r="H23">
            <v>50262.6</v>
          </cell>
          <cell r="I23">
            <v>28373.99</v>
          </cell>
          <cell r="J23">
            <v>50262.6</v>
          </cell>
          <cell r="K23">
            <v>29063.65</v>
          </cell>
          <cell r="L23">
            <v>50262.6</v>
          </cell>
          <cell r="M23">
            <v>27878.25</v>
          </cell>
          <cell r="N23">
            <v>50262.6</v>
          </cell>
          <cell r="O23">
            <v>28551.39</v>
          </cell>
          <cell r="P23">
            <v>50262.6</v>
          </cell>
          <cell r="Q23">
            <v>28295.26</v>
          </cell>
          <cell r="R23">
            <v>50262.6</v>
          </cell>
          <cell r="S23">
            <v>27134.64</v>
          </cell>
          <cell r="T23">
            <v>50262.6</v>
          </cell>
          <cell r="U23">
            <v>27782.99</v>
          </cell>
          <cell r="V23">
            <v>50262.6</v>
          </cell>
          <cell r="W23">
            <v>26638.89</v>
          </cell>
          <cell r="X23">
            <v>50262.6</v>
          </cell>
          <cell r="Y23">
            <v>27270.72</v>
          </cell>
        </row>
        <row r="24">
          <cell r="B24">
            <v>50262.6</v>
          </cell>
          <cell r="C24">
            <v>27014.59</v>
          </cell>
          <cell r="D24">
            <v>50262.6</v>
          </cell>
          <cell r="E24">
            <v>25032.11</v>
          </cell>
          <cell r="F24">
            <v>50262.6</v>
          </cell>
          <cell r="G24">
            <v>26502.33</v>
          </cell>
          <cell r="H24">
            <v>50262.6</v>
          </cell>
          <cell r="I24">
            <v>25399.54</v>
          </cell>
          <cell r="J24">
            <v>50262.6</v>
          </cell>
          <cell r="K24">
            <v>25990.06</v>
          </cell>
          <cell r="L24">
            <v>50262.6</v>
          </cell>
          <cell r="M24">
            <v>24903.8</v>
          </cell>
          <cell r="N24">
            <v>50262.6</v>
          </cell>
          <cell r="O24">
            <v>25477.8</v>
          </cell>
          <cell r="P24">
            <v>50262.6</v>
          </cell>
          <cell r="Q24">
            <v>25221.66</v>
          </cell>
          <cell r="R24">
            <v>50262.6</v>
          </cell>
          <cell r="S24">
            <v>24160.19</v>
          </cell>
          <cell r="T24">
            <v>50262.6</v>
          </cell>
          <cell r="U24">
            <v>24709.4</v>
          </cell>
          <cell r="V24">
            <v>50262.6</v>
          </cell>
          <cell r="W24">
            <v>23664.45</v>
          </cell>
          <cell r="X24">
            <v>50262.6</v>
          </cell>
          <cell r="Y24">
            <v>24197.13</v>
          </cell>
        </row>
        <row r="25">
          <cell r="B25">
            <v>50262.6</v>
          </cell>
          <cell r="C25">
            <v>23941</v>
          </cell>
          <cell r="D25">
            <v>50262.6</v>
          </cell>
          <cell r="E25">
            <v>21392.78</v>
          </cell>
          <cell r="F25">
            <v>50262.6</v>
          </cell>
          <cell r="G25">
            <v>23428.73</v>
          </cell>
          <cell r="H25">
            <v>50262.6</v>
          </cell>
          <cell r="I25">
            <v>22425.1</v>
          </cell>
          <cell r="J25">
            <v>50262.6</v>
          </cell>
          <cell r="K25">
            <v>22916.47</v>
          </cell>
          <cell r="L25">
            <v>50262.6</v>
          </cell>
          <cell r="M25">
            <v>21929.36</v>
          </cell>
          <cell r="N25">
            <v>50262.6</v>
          </cell>
          <cell r="O25">
            <v>22404.2</v>
          </cell>
          <cell r="P25">
            <v>50262.6</v>
          </cell>
          <cell r="Q25">
            <v>22148.07</v>
          </cell>
          <cell r="R25">
            <v>50262.6</v>
          </cell>
          <cell r="S25">
            <v>21185.75</v>
          </cell>
          <cell r="T25">
            <v>50262.6</v>
          </cell>
          <cell r="U25">
            <v>21635.81</v>
          </cell>
          <cell r="V25">
            <v>50262.6</v>
          </cell>
          <cell r="W25">
            <v>20690.01</v>
          </cell>
          <cell r="X25">
            <v>50262.6</v>
          </cell>
          <cell r="Y25">
            <v>21123.54</v>
          </cell>
        </row>
        <row r="26">
          <cell r="B26">
            <v>50262.6</v>
          </cell>
          <cell r="C26">
            <v>20867.41</v>
          </cell>
          <cell r="D26">
            <v>50262.6</v>
          </cell>
          <cell r="E26">
            <v>18616.64</v>
          </cell>
          <cell r="F26">
            <v>50262.6</v>
          </cell>
          <cell r="G26">
            <v>20355.14</v>
          </cell>
          <cell r="H26">
            <v>50262.6</v>
          </cell>
          <cell r="I26">
            <v>19450.65</v>
          </cell>
          <cell r="J26">
            <v>50262.6</v>
          </cell>
          <cell r="K26">
            <v>19842.88</v>
          </cell>
          <cell r="L26">
            <v>50262.6</v>
          </cell>
          <cell r="M26">
            <v>18954.91</v>
          </cell>
          <cell r="N26">
            <v>50262.6</v>
          </cell>
          <cell r="O26">
            <v>19330.61</v>
          </cell>
          <cell r="P26">
            <v>50262.6</v>
          </cell>
          <cell r="Q26">
            <v>19074.48</v>
          </cell>
          <cell r="R26">
            <v>50262.6</v>
          </cell>
          <cell r="S26">
            <v>18211.3</v>
          </cell>
          <cell r="T26">
            <v>50262.6</v>
          </cell>
          <cell r="U26">
            <v>18562.21</v>
          </cell>
          <cell r="V26">
            <v>50262.6</v>
          </cell>
          <cell r="W26">
            <v>17715.56</v>
          </cell>
          <cell r="X26">
            <v>50262.6</v>
          </cell>
          <cell r="Y26">
            <v>18049.95</v>
          </cell>
        </row>
        <row r="27">
          <cell r="B27">
            <v>50262.6</v>
          </cell>
          <cell r="C27">
            <v>17793.81</v>
          </cell>
          <cell r="D27">
            <v>50262.6</v>
          </cell>
          <cell r="E27">
            <v>15840.49</v>
          </cell>
          <cell r="F27">
            <v>50262.6</v>
          </cell>
          <cell r="G27">
            <v>17281.55</v>
          </cell>
          <cell r="H27">
            <v>50262.6</v>
          </cell>
          <cell r="I27">
            <v>16476.21</v>
          </cell>
          <cell r="J27">
            <v>50262.6</v>
          </cell>
          <cell r="K27">
            <v>16769.28</v>
          </cell>
          <cell r="L27">
            <v>50262.6</v>
          </cell>
          <cell r="M27">
            <v>15980.47</v>
          </cell>
          <cell r="N27">
            <v>50262.6</v>
          </cell>
          <cell r="O27">
            <v>16257.02</v>
          </cell>
          <cell r="P27">
            <v>50262.6</v>
          </cell>
          <cell r="Q27">
            <v>16000.89</v>
          </cell>
          <cell r="R27">
            <v>50262.6</v>
          </cell>
          <cell r="S27">
            <v>15236.86</v>
          </cell>
          <cell r="T27">
            <v>50262.6</v>
          </cell>
          <cell r="U27">
            <v>15488.62</v>
          </cell>
          <cell r="V27">
            <v>50262.6</v>
          </cell>
          <cell r="W27">
            <v>14741.12</v>
          </cell>
          <cell r="X27">
            <v>50262.6</v>
          </cell>
          <cell r="Y27">
            <v>14976.36</v>
          </cell>
        </row>
        <row r="28">
          <cell r="B28">
            <v>50262.6</v>
          </cell>
          <cell r="C28">
            <v>14720.22</v>
          </cell>
          <cell r="D28">
            <v>50262.6</v>
          </cell>
          <cell r="E28">
            <v>13530.92</v>
          </cell>
          <cell r="F28">
            <v>50262.6</v>
          </cell>
          <cell r="G28">
            <v>14207.96</v>
          </cell>
          <cell r="H28">
            <v>50262.6</v>
          </cell>
          <cell r="I28">
            <v>13501.77</v>
          </cell>
          <cell r="J28">
            <v>50262.6</v>
          </cell>
          <cell r="K28">
            <v>13695.69</v>
          </cell>
          <cell r="L28">
            <v>50262.6</v>
          </cell>
          <cell r="M28">
            <v>13006.02</v>
          </cell>
          <cell r="N28">
            <v>50262.6</v>
          </cell>
          <cell r="O28">
            <v>13183.43</v>
          </cell>
          <cell r="P28">
            <v>50262.6</v>
          </cell>
          <cell r="Q28">
            <v>12927.29</v>
          </cell>
          <cell r="R28">
            <v>50262.6</v>
          </cell>
          <cell r="S28">
            <v>12262.41</v>
          </cell>
          <cell r="T28">
            <v>50262.6</v>
          </cell>
          <cell r="U28">
            <v>12415.03</v>
          </cell>
          <cell r="V28">
            <v>50262.6</v>
          </cell>
          <cell r="W28">
            <v>11766.67</v>
          </cell>
          <cell r="X28">
            <v>50262.6</v>
          </cell>
          <cell r="Y28">
            <v>11902.76</v>
          </cell>
        </row>
        <row r="29">
          <cell r="B29">
            <v>50262.6</v>
          </cell>
          <cell r="C29">
            <v>11646.63</v>
          </cell>
          <cell r="D29">
            <v>50262.6</v>
          </cell>
          <cell r="E29">
            <v>10288.19</v>
          </cell>
          <cell r="F29">
            <v>50262.6</v>
          </cell>
          <cell r="G29">
            <v>11134.36</v>
          </cell>
          <cell r="H29">
            <v>50262.6</v>
          </cell>
          <cell r="I29">
            <v>10527.32</v>
          </cell>
          <cell r="J29">
            <v>50262.6</v>
          </cell>
          <cell r="K29">
            <v>10622.1</v>
          </cell>
          <cell r="L29">
            <v>50262.6</v>
          </cell>
          <cell r="M29">
            <v>10031.58</v>
          </cell>
          <cell r="N29">
            <v>50262.6</v>
          </cell>
          <cell r="O29">
            <v>10109.83</v>
          </cell>
          <cell r="P29">
            <v>50262.6</v>
          </cell>
          <cell r="Q29">
            <v>9853.7</v>
          </cell>
          <cell r="R29">
            <v>50262.6</v>
          </cell>
          <cell r="S29">
            <v>9287.97</v>
          </cell>
          <cell r="T29">
            <v>50262.6</v>
          </cell>
          <cell r="U29">
            <v>9341.44</v>
          </cell>
          <cell r="V29">
            <v>50262.6</v>
          </cell>
          <cell r="W29">
            <v>8792.23</v>
          </cell>
          <cell r="X29">
            <v>50262.6</v>
          </cell>
          <cell r="Y29">
            <v>8829.17</v>
          </cell>
        </row>
        <row r="30">
          <cell r="B30">
            <v>50262.6</v>
          </cell>
          <cell r="C30">
            <v>8573.04</v>
          </cell>
          <cell r="D30">
            <v>50262.6</v>
          </cell>
          <cell r="E30">
            <v>7512.04</v>
          </cell>
          <cell r="F30">
            <v>50262.6</v>
          </cell>
          <cell r="G30">
            <v>8060.77</v>
          </cell>
          <cell r="H30">
            <v>50262.6</v>
          </cell>
          <cell r="I30">
            <v>7552.88</v>
          </cell>
          <cell r="J30">
            <v>50262.6</v>
          </cell>
          <cell r="K30">
            <v>7548.51</v>
          </cell>
          <cell r="L30">
            <v>50262.6</v>
          </cell>
          <cell r="M30">
            <v>7057.14</v>
          </cell>
          <cell r="N30">
            <v>50262.6</v>
          </cell>
          <cell r="O30">
            <v>7036.24</v>
          </cell>
          <cell r="P30">
            <v>50262.6</v>
          </cell>
          <cell r="Q30">
            <v>6780.11</v>
          </cell>
          <cell r="R30">
            <v>50262.6</v>
          </cell>
          <cell r="S30">
            <v>6313.53</v>
          </cell>
          <cell r="T30">
            <v>50262.6</v>
          </cell>
          <cell r="U30">
            <v>6267.84</v>
          </cell>
          <cell r="V30">
            <v>50262.6</v>
          </cell>
          <cell r="W30">
            <v>5817.78</v>
          </cell>
          <cell r="X30">
            <v>1129454.8000000524</v>
          </cell>
          <cell r="Y30">
            <v>5755.58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q Eq"/>
      <sheetName val="Catastros"/>
      <sheetName val="RESUMEN"/>
      <sheetName val="Evolución en U$S"/>
      <sheetName val="Evolución en pesos"/>
      <sheetName val="Flujo vencimientos"/>
      <sheetName val="Hoja1"/>
      <sheetName val="Liquidación"/>
      <sheetName val="Stock Estimado"/>
    </sheetNames>
    <sheetDataSet>
      <sheetData sheetId="4">
        <row r="63">
          <cell r="Q63">
            <v>12962.61</v>
          </cell>
        </row>
        <row r="66">
          <cell r="K66">
            <v>426.01</v>
          </cell>
          <cell r="L66">
            <v>2355.97</v>
          </cell>
          <cell r="N66">
            <v>256800.24000000124</v>
          </cell>
        </row>
      </sheetData>
      <sheetData sheetId="5">
        <row r="13">
          <cell r="B13">
            <v>11680.9</v>
          </cell>
          <cell r="C13">
            <v>2142.9</v>
          </cell>
          <cell r="D13">
            <v>11831.679999999998</v>
          </cell>
          <cell r="E13">
            <v>1942.36</v>
          </cell>
          <cell r="F13">
            <v>11940.41</v>
          </cell>
          <cell r="G13">
            <v>2149.91</v>
          </cell>
          <cell r="H13">
            <v>11992.83</v>
          </cell>
          <cell r="I13">
            <v>2070.0099999999998</v>
          </cell>
          <cell r="J13">
            <v>12045.48</v>
          </cell>
          <cell r="K13">
            <v>2127.93</v>
          </cell>
          <cell r="L13">
            <v>12098.359999999999</v>
          </cell>
          <cell r="M13">
            <v>2048.43</v>
          </cell>
          <cell r="N13">
            <v>12151.47</v>
          </cell>
          <cell r="O13">
            <v>2105.39</v>
          </cell>
          <cell r="P13">
            <v>12204.82</v>
          </cell>
          <cell r="Q13">
            <v>2093.86</v>
          </cell>
          <cell r="R13">
            <v>12258.4</v>
          </cell>
          <cell r="S13">
            <v>2015.0600000000002</v>
          </cell>
          <cell r="T13">
            <v>12312.21</v>
          </cell>
          <cell r="U13">
            <v>2070.47</v>
          </cell>
          <cell r="V13">
            <v>12366.26</v>
          </cell>
          <cell r="W13">
            <v>1992.17</v>
          </cell>
          <cell r="X13">
            <v>12420.5</v>
          </cell>
          <cell r="Y13">
            <v>2046.5200000000002</v>
          </cell>
        </row>
        <row r="14">
          <cell r="B14">
            <v>12508.33</v>
          </cell>
          <cell r="C14">
            <v>2039.6900000000003</v>
          </cell>
          <cell r="D14">
            <v>12596.669999999998</v>
          </cell>
          <cell r="E14">
            <v>1836.0099999999998</v>
          </cell>
          <cell r="F14">
            <v>12685.74</v>
          </cell>
          <cell r="G14">
            <v>2025.54</v>
          </cell>
          <cell r="H14">
            <v>12775.34</v>
          </cell>
          <cell r="I14">
            <v>1953.04</v>
          </cell>
          <cell r="J14">
            <v>12865.679999999998</v>
          </cell>
          <cell r="K14">
            <v>2010.5900000000001</v>
          </cell>
          <cell r="L14">
            <v>12956.54</v>
          </cell>
          <cell r="M14">
            <v>1938.18</v>
          </cell>
          <cell r="N14">
            <v>13048.16</v>
          </cell>
          <cell r="O14">
            <v>1994.74</v>
          </cell>
          <cell r="P14">
            <v>13140.32</v>
          </cell>
          <cell r="Q14">
            <v>1986.53</v>
          </cell>
          <cell r="R14">
            <v>13233.24</v>
          </cell>
          <cell r="S14">
            <v>1914.29</v>
          </cell>
          <cell r="T14">
            <v>13326.7</v>
          </cell>
          <cell r="U14">
            <v>1969.45</v>
          </cell>
          <cell r="V14">
            <v>13420.939999999999</v>
          </cell>
          <cell r="W14">
            <v>1897.3</v>
          </cell>
          <cell r="X14">
            <v>13515.720000000001</v>
          </cell>
          <cell r="Y14">
            <v>1951.44</v>
          </cell>
        </row>
        <row r="15">
          <cell r="B15">
            <v>13564.75</v>
          </cell>
          <cell r="C15">
            <v>1935.48</v>
          </cell>
          <cell r="D15">
            <v>13613.84</v>
          </cell>
          <cell r="E15">
            <v>1733.6</v>
          </cell>
          <cell r="F15">
            <v>13663.22</v>
          </cell>
          <cell r="G15">
            <v>1903.13</v>
          </cell>
          <cell r="H15">
            <v>13712.66</v>
          </cell>
          <cell r="I15">
            <v>1825.8600000000001</v>
          </cell>
          <cell r="J15">
            <v>13762.4</v>
          </cell>
          <cell r="K15">
            <v>1870.1599999999999</v>
          </cell>
          <cell r="L15">
            <v>13812.2</v>
          </cell>
          <cell r="M15">
            <v>1793.68</v>
          </cell>
          <cell r="N15">
            <v>13862.3</v>
          </cell>
          <cell r="O15">
            <v>1836.6599999999999</v>
          </cell>
          <cell r="P15">
            <v>13912.470000000001</v>
          </cell>
          <cell r="Q15">
            <v>1819.69</v>
          </cell>
          <cell r="R15">
            <v>13962.929999999998</v>
          </cell>
          <cell r="S15">
            <v>1744.3799999999999</v>
          </cell>
          <cell r="T15">
            <v>14013.46</v>
          </cell>
          <cell r="U15">
            <v>1785.2599999999998</v>
          </cell>
          <cell r="V15">
            <v>14064.289999999999</v>
          </cell>
          <cell r="W15">
            <v>1710.84</v>
          </cell>
          <cell r="X15">
            <v>14115.189999999999</v>
          </cell>
          <cell r="Y15">
            <v>1750.29</v>
          </cell>
        </row>
        <row r="16">
          <cell r="B16">
            <v>14166.39</v>
          </cell>
          <cell r="C16">
            <v>1732.58</v>
          </cell>
          <cell r="D16">
            <v>14217.650000000001</v>
          </cell>
          <cell r="E16">
            <v>1604.04</v>
          </cell>
          <cell r="F16">
            <v>14269.22</v>
          </cell>
          <cell r="G16">
            <v>1696.6399999999999</v>
          </cell>
          <cell r="H16">
            <v>14320.86</v>
          </cell>
          <cell r="I16">
            <v>1624.31</v>
          </cell>
          <cell r="J16">
            <v>14372.8</v>
          </cell>
          <cell r="K16">
            <v>1660.15</v>
          </cell>
          <cell r="L16">
            <v>14424.810000000001</v>
          </cell>
          <cell r="M16">
            <v>1588.72</v>
          </cell>
          <cell r="N16">
            <v>14477.14</v>
          </cell>
          <cell r="O16">
            <v>1623.0500000000002</v>
          </cell>
          <cell r="P16">
            <v>14529.529999999999</v>
          </cell>
          <cell r="Q16">
            <v>1604.1999999999998</v>
          </cell>
          <cell r="R16">
            <v>14582.23</v>
          </cell>
          <cell r="S16">
            <v>1534.12</v>
          </cell>
          <cell r="T16">
            <v>14635</v>
          </cell>
          <cell r="U16">
            <v>1566.15</v>
          </cell>
          <cell r="V16">
            <v>14688.08</v>
          </cell>
          <cell r="W16">
            <v>1496.94</v>
          </cell>
          <cell r="X16">
            <v>14741.240000000002</v>
          </cell>
          <cell r="Y16">
            <v>1527.46</v>
          </cell>
        </row>
        <row r="17">
          <cell r="B17">
            <v>14794.71</v>
          </cell>
          <cell r="C17">
            <v>1507.81</v>
          </cell>
          <cell r="D17">
            <v>14848.240000000002</v>
          </cell>
          <cell r="E17">
            <v>1344.05</v>
          </cell>
          <cell r="F17">
            <v>14902.099999999999</v>
          </cell>
          <cell r="G17">
            <v>1468.15</v>
          </cell>
          <cell r="H17">
            <v>14956.029999999999</v>
          </cell>
          <cell r="I17">
            <v>1401.36</v>
          </cell>
          <cell r="J17">
            <v>15010.279999999999</v>
          </cell>
          <cell r="K17">
            <v>1427.8400000000001</v>
          </cell>
          <cell r="L17">
            <v>15064.599999999999</v>
          </cell>
          <cell r="M17">
            <v>1362.04</v>
          </cell>
          <cell r="N17">
            <v>15119.24</v>
          </cell>
          <cell r="O17">
            <v>1386.8</v>
          </cell>
          <cell r="P17">
            <v>15173.95</v>
          </cell>
          <cell r="Q17">
            <v>1366.07</v>
          </cell>
          <cell r="R17">
            <v>15228.99</v>
          </cell>
          <cell r="S17">
            <v>1301.79</v>
          </cell>
          <cell r="T17">
            <v>15284.099999999999</v>
          </cell>
          <cell r="U17">
            <v>1324.08</v>
          </cell>
          <cell r="V17">
            <v>15339.539999999999</v>
          </cell>
          <cell r="W17">
            <v>1260.7800000000002</v>
          </cell>
          <cell r="X17">
            <v>15395.05</v>
          </cell>
          <cell r="Y17">
            <v>1281.35</v>
          </cell>
        </row>
        <row r="18">
          <cell r="B18">
            <v>15450.89</v>
          </cell>
          <cell r="C18">
            <v>1259.76</v>
          </cell>
          <cell r="D18">
            <v>15506.810000000001</v>
          </cell>
          <cell r="E18">
            <v>1118.21</v>
          </cell>
          <cell r="F18">
            <v>15563.05</v>
          </cell>
          <cell r="G18">
            <v>1216.06</v>
          </cell>
          <cell r="H18">
            <v>15619.369999999999</v>
          </cell>
          <cell r="I18">
            <v>1155.43</v>
          </cell>
          <cell r="J18">
            <v>15676.029999999999</v>
          </cell>
          <cell r="K18">
            <v>1171.59</v>
          </cell>
          <cell r="L18">
            <v>15732.75</v>
          </cell>
          <cell r="M18">
            <v>1112.06</v>
          </cell>
          <cell r="N18">
            <v>15789.82</v>
          </cell>
          <cell r="O18">
            <v>1126.48</v>
          </cell>
          <cell r="P18">
            <v>15846.96</v>
          </cell>
          <cell r="Q18">
            <v>1103.66</v>
          </cell>
          <cell r="R18">
            <v>15904.439999999999</v>
          </cell>
          <cell r="S18">
            <v>1045.75</v>
          </cell>
          <cell r="T18">
            <v>15962</v>
          </cell>
          <cell r="U18">
            <v>1057.4</v>
          </cell>
          <cell r="V18">
            <v>16019.89</v>
          </cell>
          <cell r="W18">
            <v>1000.71</v>
          </cell>
          <cell r="X18">
            <v>16077.869999999997</v>
          </cell>
          <cell r="Y18">
            <v>1010.48</v>
          </cell>
        </row>
        <row r="19">
          <cell r="B19">
            <v>16136.18</v>
          </cell>
          <cell r="C19">
            <v>986.74</v>
          </cell>
          <cell r="D19">
            <v>16194.580000000002</v>
          </cell>
          <cell r="E19">
            <v>869.61</v>
          </cell>
          <cell r="F19">
            <v>16253.319999999998</v>
          </cell>
          <cell r="G19">
            <v>938.72</v>
          </cell>
          <cell r="H19">
            <v>16312.14</v>
          </cell>
          <cell r="I19">
            <v>884.8599999999999</v>
          </cell>
          <cell r="J19">
            <v>16371.299999999997</v>
          </cell>
          <cell r="K19">
            <v>889.8699999999999</v>
          </cell>
          <cell r="L19">
            <v>16430.55</v>
          </cell>
          <cell r="M19">
            <v>837.3</v>
          </cell>
          <cell r="N19">
            <v>16490.15</v>
          </cell>
          <cell r="O19">
            <v>840.3399999999999</v>
          </cell>
          <cell r="P19">
            <v>16549.82</v>
          </cell>
          <cell r="Q19">
            <v>815.28</v>
          </cell>
          <cell r="R19">
            <v>16609.85</v>
          </cell>
          <cell r="S19">
            <v>764.51</v>
          </cell>
          <cell r="T19">
            <v>16669.96</v>
          </cell>
          <cell r="U19">
            <v>764.52</v>
          </cell>
          <cell r="V19">
            <v>16730.420000000002</v>
          </cell>
          <cell r="W19">
            <v>715.03</v>
          </cell>
          <cell r="X19">
            <v>16790.97</v>
          </cell>
          <cell r="Y19">
            <v>713.06</v>
          </cell>
        </row>
        <row r="20">
          <cell r="B20">
            <v>16851.87</v>
          </cell>
          <cell r="C20">
            <v>687.03</v>
          </cell>
          <cell r="D20">
            <v>16912.85</v>
          </cell>
          <cell r="E20">
            <v>618.16</v>
          </cell>
          <cell r="F20">
            <v>16974.2</v>
          </cell>
          <cell r="G20">
            <v>634.31</v>
          </cell>
          <cell r="H20">
            <v>17035.63</v>
          </cell>
          <cell r="I20">
            <v>588.09</v>
          </cell>
          <cell r="J20">
            <v>17097.420000000002</v>
          </cell>
          <cell r="K20">
            <v>580.86</v>
          </cell>
          <cell r="L20">
            <v>17159.29</v>
          </cell>
          <cell r="M20">
            <v>535.91</v>
          </cell>
          <cell r="N20">
            <v>17221.53</v>
          </cell>
          <cell r="O20">
            <v>526.52</v>
          </cell>
          <cell r="P20">
            <v>17283.85</v>
          </cell>
          <cell r="Q20">
            <v>499.08000000000004</v>
          </cell>
          <cell r="R20">
            <v>17346.54</v>
          </cell>
          <cell r="S20">
            <v>456.27</v>
          </cell>
          <cell r="T20">
            <v>17409.32</v>
          </cell>
          <cell r="U20">
            <v>443.59000000000003</v>
          </cell>
          <cell r="V20">
            <v>17472.46</v>
          </cell>
          <cell r="W20">
            <v>402.11</v>
          </cell>
          <cell r="X20">
            <v>17535.69</v>
          </cell>
          <cell r="Y20">
            <v>387.19</v>
          </cell>
        </row>
        <row r="21">
          <cell r="B21">
            <v>17599.3</v>
          </cell>
          <cell r="C21">
            <v>358.71</v>
          </cell>
          <cell r="D21">
            <v>17662.99</v>
          </cell>
          <cell r="E21">
            <v>298.09</v>
          </cell>
          <cell r="F21">
            <v>17727.06</v>
          </cell>
          <cell r="G21">
            <v>301.12</v>
          </cell>
          <cell r="H21">
            <v>17791.2</v>
          </cell>
          <cell r="I21">
            <v>263.25</v>
          </cell>
          <cell r="J21">
            <v>17855.74</v>
          </cell>
          <cell r="K21">
            <v>242.68</v>
          </cell>
          <cell r="L21">
            <v>17920.35</v>
          </cell>
          <cell r="M21">
            <v>206.20999999999998</v>
          </cell>
          <cell r="N21">
            <v>17985.36</v>
          </cell>
          <cell r="O21">
            <v>183.29</v>
          </cell>
          <cell r="P21">
            <v>18050.44</v>
          </cell>
          <cell r="Q21">
            <v>153.31</v>
          </cell>
          <cell r="R21">
            <v>18115.91</v>
          </cell>
          <cell r="S21">
            <v>119.11</v>
          </cell>
          <cell r="T21">
            <v>18181.47</v>
          </cell>
          <cell r="U21">
            <v>92.68</v>
          </cell>
          <cell r="V21">
            <v>18247.420000000002</v>
          </cell>
          <cell r="W21">
            <v>60.03</v>
          </cell>
          <cell r="X21">
            <v>18313.45</v>
          </cell>
          <cell r="Y21">
            <v>31.09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Ingresos Anuales"/>
      <sheetName val="Evolución"/>
      <sheetName val="Flujos Vencimientos"/>
      <sheetName val="Programación Financiera"/>
      <sheetName val="Pagos 2009"/>
      <sheetName val="Stock estimado"/>
    </sheetNames>
    <sheetDataSet>
      <sheetData sheetId="2">
        <row r="50">
          <cell r="J50">
            <v>11723.63</v>
          </cell>
          <cell r="K50">
            <v>50447.64</v>
          </cell>
          <cell r="M50">
            <v>1121914.9200000002</v>
          </cell>
        </row>
      </sheetData>
      <sheetData sheetId="3">
        <row r="13">
          <cell r="B13">
            <v>51461.64</v>
          </cell>
          <cell r="C13">
            <v>10709.63</v>
          </cell>
          <cell r="D13">
            <v>51976.26</v>
          </cell>
          <cell r="E13">
            <v>10195.01</v>
          </cell>
          <cell r="F13">
            <v>52496.02</v>
          </cell>
          <cell r="G13">
            <v>9675.25</v>
          </cell>
          <cell r="H13">
            <v>53020.98</v>
          </cell>
          <cell r="I13">
            <v>9150.29</v>
          </cell>
          <cell r="J13">
            <v>53551.19</v>
          </cell>
          <cell r="K13">
            <v>8620.08</v>
          </cell>
          <cell r="L13">
            <v>54086.7</v>
          </cell>
          <cell r="M13">
            <v>8084.57</v>
          </cell>
          <cell r="N13">
            <v>54627.57</v>
          </cell>
          <cell r="O13">
            <v>7543.7</v>
          </cell>
          <cell r="P13">
            <v>55173.84</v>
          </cell>
          <cell r="Q13">
            <v>6997.42</v>
          </cell>
          <cell r="R13">
            <v>55725.58</v>
          </cell>
          <cell r="S13">
            <v>6445.69</v>
          </cell>
          <cell r="T13">
            <v>56282.84</v>
          </cell>
          <cell r="U13">
            <v>5888.43</v>
          </cell>
          <cell r="V13">
            <v>56845.67</v>
          </cell>
          <cell r="W13">
            <v>5325.6</v>
          </cell>
          <cell r="X13">
            <v>57414.12</v>
          </cell>
          <cell r="Y13">
            <v>4757.15</v>
          </cell>
        </row>
        <row r="14">
          <cell r="B14">
            <v>57988.26</v>
          </cell>
          <cell r="C14">
            <v>4183</v>
          </cell>
          <cell r="D14">
            <v>58568.15</v>
          </cell>
          <cell r="E14">
            <v>3603.12</v>
          </cell>
          <cell r="F14">
            <v>59153.83</v>
          </cell>
          <cell r="G14">
            <v>3017.44</v>
          </cell>
          <cell r="H14">
            <v>59745.37</v>
          </cell>
          <cell r="I14">
            <v>2425.9</v>
          </cell>
          <cell r="J14">
            <v>60342.82</v>
          </cell>
          <cell r="K14">
            <v>1828.45</v>
          </cell>
          <cell r="L14">
            <v>60946.25</v>
          </cell>
          <cell r="M14">
            <v>1225.02</v>
          </cell>
          <cell r="N14">
            <v>61555.71</v>
          </cell>
          <cell r="O14">
            <v>615.56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v Urb"/>
      <sheetName val="Catastros"/>
      <sheetName val="Adq de Eq"/>
      <sheetName val="Anexo I - RESUMEN"/>
      <sheetName val="Anexo II - Evolución en U$S"/>
      <sheetName val="Evolución en pesos"/>
      <sheetName val="Flujo de Vencimientos"/>
      <sheetName val="Stcok estimado"/>
      <sheetName val="Anexo III - Cuota 31-12-2006"/>
      <sheetName val="Liquidación"/>
    </sheetNames>
    <sheetDataSet>
      <sheetData sheetId="5">
        <row r="76">
          <cell r="Q76">
            <v>42552.32</v>
          </cell>
        </row>
        <row r="79">
          <cell r="K79">
            <v>1398.47</v>
          </cell>
          <cell r="L79">
            <v>7733.94</v>
          </cell>
          <cell r="N79">
            <v>843000.0078125033</v>
          </cell>
        </row>
      </sheetData>
      <sheetData sheetId="6">
        <row r="13">
          <cell r="B13">
            <v>38344.87</v>
          </cell>
          <cell r="C13">
            <v>7034.459999999999</v>
          </cell>
          <cell r="D13">
            <v>38839.9</v>
          </cell>
          <cell r="E13">
            <v>6376.13</v>
          </cell>
          <cell r="F13">
            <v>39196.78</v>
          </cell>
          <cell r="G13">
            <v>7057.55</v>
          </cell>
          <cell r="H13">
            <v>39368.909999999996</v>
          </cell>
          <cell r="I13">
            <v>6795.18</v>
          </cell>
          <cell r="J13">
            <v>39541.69</v>
          </cell>
          <cell r="K13">
            <v>6985.34</v>
          </cell>
          <cell r="L13">
            <v>39715.33</v>
          </cell>
          <cell r="M13">
            <v>6724.38</v>
          </cell>
          <cell r="N13">
            <v>39889.62</v>
          </cell>
          <cell r="O13">
            <v>6911.32</v>
          </cell>
          <cell r="P13">
            <v>40064.79</v>
          </cell>
          <cell r="Q13">
            <v>6873.59</v>
          </cell>
          <cell r="R13">
            <v>40240.62</v>
          </cell>
          <cell r="S13">
            <v>6614.88</v>
          </cell>
          <cell r="T13">
            <v>40417.33</v>
          </cell>
          <cell r="U13">
            <v>6796.73</v>
          </cell>
          <cell r="V13">
            <v>40594.71</v>
          </cell>
          <cell r="W13">
            <v>6539.66</v>
          </cell>
          <cell r="X13">
            <v>40772.979999999996</v>
          </cell>
          <cell r="Y13">
            <v>6718.04</v>
          </cell>
        </row>
        <row r="14">
          <cell r="B14">
            <v>41061.07</v>
          </cell>
          <cell r="C14">
            <v>6695.76</v>
          </cell>
          <cell r="D14">
            <v>41351.299999999996</v>
          </cell>
          <cell r="E14">
            <v>6027.09</v>
          </cell>
          <cell r="F14">
            <v>41643.47</v>
          </cell>
          <cell r="G14">
            <v>6649.280000000001</v>
          </cell>
          <cell r="H14">
            <v>41937.82</v>
          </cell>
          <cell r="I14">
            <v>6411.31</v>
          </cell>
          <cell r="J14">
            <v>42234.14</v>
          </cell>
          <cell r="K14">
            <v>6600.08</v>
          </cell>
          <cell r="L14">
            <v>42532.67</v>
          </cell>
          <cell r="M14">
            <v>6362.4</v>
          </cell>
          <cell r="N14">
            <v>42833.19</v>
          </cell>
          <cell r="O14">
            <v>6548.2</v>
          </cell>
          <cell r="P14">
            <v>43135.95</v>
          </cell>
          <cell r="Q14">
            <v>6521.19</v>
          </cell>
          <cell r="R14">
            <v>43440.73</v>
          </cell>
          <cell r="S14">
            <v>6284.01</v>
          </cell>
          <cell r="T14">
            <v>43747.78</v>
          </cell>
          <cell r="U14">
            <v>6465.09</v>
          </cell>
          <cell r="V14">
            <v>44056.89</v>
          </cell>
          <cell r="W14">
            <v>6228.34</v>
          </cell>
          <cell r="X14">
            <v>44368.299999999996</v>
          </cell>
          <cell r="Y14">
            <v>6406.02</v>
          </cell>
        </row>
        <row r="15">
          <cell r="B15">
            <v>44528.990000000005</v>
          </cell>
          <cell r="C15">
            <v>6353.629999999999</v>
          </cell>
          <cell r="D15">
            <v>44690.369999999995</v>
          </cell>
          <cell r="E15">
            <v>5690.98</v>
          </cell>
          <cell r="F15">
            <v>44852.23</v>
          </cell>
          <cell r="G15">
            <v>6247.349999999999</v>
          </cell>
          <cell r="H15">
            <v>45014.78999999999</v>
          </cell>
          <cell r="I15">
            <v>5993.75</v>
          </cell>
          <cell r="J15">
            <v>45177.82</v>
          </cell>
          <cell r="K15">
            <v>6139.240000000001</v>
          </cell>
          <cell r="L15">
            <v>45341.56</v>
          </cell>
          <cell r="M15">
            <v>5888.17</v>
          </cell>
          <cell r="N15">
            <v>45505.770000000004</v>
          </cell>
          <cell r="O15">
            <v>6029.18</v>
          </cell>
          <cell r="P15">
            <v>45670.7</v>
          </cell>
          <cell r="Q15">
            <v>5973.49</v>
          </cell>
          <cell r="R15">
            <v>45836.100000000006</v>
          </cell>
          <cell r="S15">
            <v>5726.36</v>
          </cell>
          <cell r="T15">
            <v>46002.229999999996</v>
          </cell>
          <cell r="U15">
            <v>5860.53</v>
          </cell>
          <cell r="V15">
            <v>46168.83</v>
          </cell>
          <cell r="W15">
            <v>5616.18</v>
          </cell>
          <cell r="X15">
            <v>46336.159999999996</v>
          </cell>
          <cell r="Y15">
            <v>5745.6900000000005</v>
          </cell>
        </row>
        <row r="16">
          <cell r="B16">
            <v>46503.98</v>
          </cell>
          <cell r="C16">
            <v>5687.49</v>
          </cell>
          <cell r="D16">
            <v>46672.52</v>
          </cell>
          <cell r="E16">
            <v>5265.6900000000005</v>
          </cell>
          <cell r="F16">
            <v>46841.560000000005</v>
          </cell>
          <cell r="G16">
            <v>5569.67</v>
          </cell>
          <cell r="H16">
            <v>47011.32</v>
          </cell>
          <cell r="I16">
            <v>5332.240000000001</v>
          </cell>
          <cell r="J16">
            <v>47181.58</v>
          </cell>
          <cell r="K16">
            <v>5449.78</v>
          </cell>
          <cell r="L16">
            <v>47352.579999999994</v>
          </cell>
          <cell r="M16">
            <v>5215.25</v>
          </cell>
          <cell r="N16">
            <v>47524.08</v>
          </cell>
          <cell r="O16">
            <v>5327.91</v>
          </cell>
          <cell r="P16">
            <v>47696.32</v>
          </cell>
          <cell r="Q16">
            <v>5266.18</v>
          </cell>
          <cell r="R16">
            <v>47869.060000000005</v>
          </cell>
          <cell r="S16">
            <v>5036.07</v>
          </cell>
          <cell r="T16">
            <v>48042.56</v>
          </cell>
          <cell r="U16">
            <v>5141.22</v>
          </cell>
          <cell r="V16">
            <v>48216.55</v>
          </cell>
          <cell r="W16">
            <v>4914.15</v>
          </cell>
          <cell r="X16">
            <v>48391.299999999996</v>
          </cell>
          <cell r="Y16">
            <v>5014.11</v>
          </cell>
        </row>
        <row r="17">
          <cell r="B17">
            <v>48566.560000000005</v>
          </cell>
          <cell r="C17">
            <v>4949.82</v>
          </cell>
          <cell r="D17">
            <v>48742.579999999994</v>
          </cell>
          <cell r="E17">
            <v>4412.2</v>
          </cell>
          <cell r="F17">
            <v>48919.11</v>
          </cell>
          <cell r="G17">
            <v>4819.53</v>
          </cell>
          <cell r="H17">
            <v>49096.409999999996</v>
          </cell>
          <cell r="I17">
            <v>4600.26</v>
          </cell>
          <cell r="J17">
            <v>49274.22</v>
          </cell>
          <cell r="K17">
            <v>4687.14</v>
          </cell>
          <cell r="L17">
            <v>49452.81</v>
          </cell>
          <cell r="M17">
            <v>4471.05</v>
          </cell>
          <cell r="N17">
            <v>49631.91</v>
          </cell>
          <cell r="O17">
            <v>4552.51</v>
          </cell>
          <cell r="P17">
            <v>49811.78999999999</v>
          </cell>
          <cell r="Q17">
            <v>4484.4400000000005</v>
          </cell>
          <cell r="R17">
            <v>49992.200000000004</v>
          </cell>
          <cell r="S17">
            <v>4273.29</v>
          </cell>
          <cell r="T17">
            <v>50173.38</v>
          </cell>
          <cell r="U17">
            <v>4346.51</v>
          </cell>
          <cell r="V17">
            <v>50355.090000000004</v>
          </cell>
          <cell r="W17">
            <v>4138.8</v>
          </cell>
          <cell r="X17">
            <v>50537.6</v>
          </cell>
          <cell r="Y17">
            <v>4206.4</v>
          </cell>
        </row>
        <row r="18">
          <cell r="B18">
            <v>50720.630000000005</v>
          </cell>
          <cell r="C18">
            <v>4135.46</v>
          </cell>
          <cell r="D18">
            <v>50904.46</v>
          </cell>
          <cell r="E18">
            <v>3670.69</v>
          </cell>
          <cell r="F18">
            <v>51088.82</v>
          </cell>
          <cell r="G18">
            <v>3991.95</v>
          </cell>
          <cell r="H18">
            <v>51273.979999999996</v>
          </cell>
          <cell r="I18">
            <v>3792.87</v>
          </cell>
          <cell r="J18">
            <v>51459.68</v>
          </cell>
          <cell r="K18">
            <v>3846.0699999999997</v>
          </cell>
          <cell r="L18">
            <v>51646.18</v>
          </cell>
          <cell r="M18">
            <v>3650.58</v>
          </cell>
          <cell r="N18">
            <v>51833.23</v>
          </cell>
          <cell r="O18">
            <v>3697.92</v>
          </cell>
          <cell r="P18">
            <v>52021.09</v>
          </cell>
          <cell r="Q18">
            <v>3622.94</v>
          </cell>
          <cell r="R18">
            <v>52209.490000000005</v>
          </cell>
          <cell r="S18">
            <v>3432.9300000000003</v>
          </cell>
          <cell r="T18">
            <v>52398.719999999994</v>
          </cell>
          <cell r="U18">
            <v>3471.25</v>
          </cell>
          <cell r="V18">
            <v>52588.490000000005</v>
          </cell>
          <cell r="W18">
            <v>3285</v>
          </cell>
          <cell r="X18">
            <v>52779.079999999994</v>
          </cell>
          <cell r="Y18">
            <v>3317.11</v>
          </cell>
        </row>
        <row r="19">
          <cell r="B19">
            <v>52970.23</v>
          </cell>
          <cell r="C19">
            <v>3239.2000000000003</v>
          </cell>
          <cell r="D19">
            <v>53162.21</v>
          </cell>
          <cell r="E19">
            <v>2854.7200000000003</v>
          </cell>
          <cell r="F19">
            <v>53354.75</v>
          </cell>
          <cell r="G19">
            <v>3081.41</v>
          </cell>
          <cell r="H19">
            <v>53548.13</v>
          </cell>
          <cell r="I19">
            <v>2904.8</v>
          </cell>
          <cell r="J19">
            <v>53742.060000000005</v>
          </cell>
          <cell r="K19">
            <v>2921.23</v>
          </cell>
          <cell r="L19">
            <v>53936.84</v>
          </cell>
          <cell r="M19">
            <v>2748.54</v>
          </cell>
          <cell r="N19">
            <v>54132.18</v>
          </cell>
          <cell r="O19">
            <v>2758.4900000000002</v>
          </cell>
          <cell r="P19">
            <v>54328.369999999995</v>
          </cell>
          <cell r="Q19">
            <v>2676.26</v>
          </cell>
          <cell r="R19">
            <v>54525.130000000005</v>
          </cell>
          <cell r="S19">
            <v>2509.63</v>
          </cell>
          <cell r="T19">
            <v>54722.75</v>
          </cell>
          <cell r="U19">
            <v>2509.73</v>
          </cell>
          <cell r="V19">
            <v>54920.94</v>
          </cell>
          <cell r="W19">
            <v>2347.33</v>
          </cell>
          <cell r="X19">
            <v>55119.99</v>
          </cell>
          <cell r="Y19">
            <v>2340.73</v>
          </cell>
        </row>
        <row r="20">
          <cell r="B20">
            <v>55319.62</v>
          </cell>
          <cell r="C20">
            <v>2255.2200000000003</v>
          </cell>
          <cell r="D20">
            <v>55520.11</v>
          </cell>
          <cell r="E20">
            <v>2029.15</v>
          </cell>
          <cell r="F20">
            <v>55721.19</v>
          </cell>
          <cell r="G20">
            <v>2082.3199999999997</v>
          </cell>
          <cell r="H20">
            <v>55923.14</v>
          </cell>
          <cell r="I20">
            <v>1930.5</v>
          </cell>
          <cell r="J20">
            <v>56125.68</v>
          </cell>
          <cell r="K20">
            <v>1906.72</v>
          </cell>
          <cell r="L20">
            <v>56329.09</v>
          </cell>
          <cell r="M20">
            <v>1759.29</v>
          </cell>
          <cell r="N20">
            <v>56533.100000000006</v>
          </cell>
          <cell r="O20">
            <v>1728.53</v>
          </cell>
          <cell r="P20">
            <v>56737.99</v>
          </cell>
          <cell r="Q20">
            <v>1638.3999999999999</v>
          </cell>
          <cell r="R20">
            <v>56943.48</v>
          </cell>
          <cell r="S20">
            <v>1497.67</v>
          </cell>
          <cell r="T20">
            <v>57149.86</v>
          </cell>
          <cell r="U20">
            <v>1456.1699999999998</v>
          </cell>
          <cell r="V20">
            <v>57356.840000000004</v>
          </cell>
          <cell r="W20">
            <v>1320.02</v>
          </cell>
          <cell r="X20">
            <v>57564.719999999994</v>
          </cell>
          <cell r="Y20">
            <v>1271.1399999999999</v>
          </cell>
        </row>
        <row r="21">
          <cell r="B21">
            <v>57773.200000000004</v>
          </cell>
          <cell r="C21">
            <v>1177.66</v>
          </cell>
          <cell r="D21">
            <v>57982.59</v>
          </cell>
          <cell r="E21">
            <v>978.53</v>
          </cell>
          <cell r="F21">
            <v>58192.58</v>
          </cell>
          <cell r="G21">
            <v>988.47</v>
          </cell>
          <cell r="H21">
            <v>58403.49</v>
          </cell>
          <cell r="I21">
            <v>864.05</v>
          </cell>
          <cell r="J21">
            <v>58615.01</v>
          </cell>
          <cell r="K21">
            <v>796.5500000000001</v>
          </cell>
          <cell r="L21">
            <v>58827.45</v>
          </cell>
          <cell r="M21">
            <v>676.89</v>
          </cell>
          <cell r="N21">
            <v>59040.5</v>
          </cell>
          <cell r="O21">
            <v>601.71</v>
          </cell>
          <cell r="P21">
            <v>59254.479999999996</v>
          </cell>
          <cell r="Q21">
            <v>503.29</v>
          </cell>
          <cell r="R21">
            <v>59469.090000000004</v>
          </cell>
          <cell r="S21">
            <v>391</v>
          </cell>
          <cell r="T21">
            <v>59684.619999999995</v>
          </cell>
          <cell r="U21">
            <v>304.14</v>
          </cell>
          <cell r="V21">
            <v>59900.78</v>
          </cell>
          <cell r="W21">
            <v>196.96</v>
          </cell>
          <cell r="X21">
            <v>60117.88</v>
          </cell>
          <cell r="Y21">
            <v>102.14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O103"/>
  <sheetViews>
    <sheetView showGridLines="0" zoomScalePageLayoutView="0" workbookViewId="0" topLeftCell="A13">
      <selection activeCell="E17" sqref="E17"/>
    </sheetView>
  </sheetViews>
  <sheetFormatPr defaultColWidth="11.421875" defaultRowHeight="12.75"/>
  <cols>
    <col min="1" max="1" width="3.7109375" style="1" customWidth="1"/>
    <col min="2" max="2" width="21.28125" style="1" customWidth="1"/>
    <col min="3" max="3" width="13.7109375" style="1" bestFit="1" customWidth="1"/>
    <col min="4" max="4" width="6.140625" style="1" customWidth="1"/>
    <col min="5" max="5" width="13.7109375" style="1" bestFit="1" customWidth="1"/>
    <col min="6" max="6" width="10.00390625" style="1" customWidth="1"/>
    <col min="7" max="7" width="9.57421875" style="1" customWidth="1"/>
    <col min="8" max="8" width="11.7109375" style="1" bestFit="1" customWidth="1"/>
    <col min="9" max="9" width="7.421875" style="1" customWidth="1"/>
    <col min="10" max="10" width="6.7109375" style="1" customWidth="1"/>
    <col min="11" max="11" width="6.7109375" style="1" bestFit="1" customWidth="1"/>
    <col min="12" max="12" width="6.7109375" style="1" customWidth="1"/>
    <col min="13" max="13" width="6.8515625" style="1" bestFit="1" customWidth="1"/>
    <col min="14" max="14" width="8.57421875" style="1" customWidth="1"/>
    <col min="15" max="16384" width="11.421875" style="1" customWidth="1"/>
  </cols>
  <sheetData>
    <row r="1" spans="1:14" ht="20.25" customHeight="1">
      <c r="A1" s="23" t="s">
        <v>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0" t="s">
        <v>88</v>
      </c>
    </row>
    <row r="2" ht="18" customHeight="1">
      <c r="G2" s="24" t="s">
        <v>90</v>
      </c>
    </row>
    <row r="3" ht="18" customHeight="1">
      <c r="G3" s="24" t="s">
        <v>87</v>
      </c>
    </row>
    <row r="4" spans="1:14" ht="20.25" customHeight="1">
      <c r="A4" s="23" t="s">
        <v>86</v>
      </c>
      <c r="B4" s="21"/>
      <c r="C4" s="21"/>
      <c r="D4" s="22"/>
      <c r="E4" s="22"/>
      <c r="F4" s="21"/>
      <c r="G4" s="21"/>
      <c r="H4" s="21"/>
      <c r="I4" s="21"/>
      <c r="J4" s="21"/>
      <c r="K4" s="21"/>
      <c r="L4" s="21"/>
      <c r="M4" s="21"/>
      <c r="N4" s="20" t="s">
        <v>85</v>
      </c>
    </row>
    <row r="5" spans="1:7" ht="12.75">
      <c r="A5" s="19"/>
      <c r="C5" s="17"/>
      <c r="G5" s="234" t="s">
        <v>325</v>
      </c>
    </row>
    <row r="6" spans="1:14" ht="11.25" customHeight="1">
      <c r="A6" s="746"/>
      <c r="B6" s="746" t="s">
        <v>19</v>
      </c>
      <c r="C6" s="746" t="s">
        <v>79</v>
      </c>
      <c r="D6" s="746" t="s">
        <v>29</v>
      </c>
      <c r="E6" s="746" t="s">
        <v>312</v>
      </c>
      <c r="F6" s="746" t="s">
        <v>72</v>
      </c>
      <c r="G6" s="746" t="s">
        <v>18</v>
      </c>
      <c r="H6" s="753" t="s">
        <v>165</v>
      </c>
      <c r="I6" s="746" t="s">
        <v>91</v>
      </c>
      <c r="J6" s="746" t="s">
        <v>2</v>
      </c>
      <c r="K6" s="746"/>
      <c r="L6" s="746" t="s">
        <v>20</v>
      </c>
      <c r="M6" s="746"/>
      <c r="N6" s="746"/>
    </row>
    <row r="7" spans="1:14" ht="12.75" thickBot="1">
      <c r="A7" s="746"/>
      <c r="B7" s="746"/>
      <c r="C7" s="746"/>
      <c r="D7" s="746"/>
      <c r="E7" s="746"/>
      <c r="F7" s="746"/>
      <c r="G7" s="746"/>
      <c r="H7" s="754"/>
      <c r="I7" s="746"/>
      <c r="J7" s="116" t="s">
        <v>71</v>
      </c>
      <c r="K7" s="116" t="s">
        <v>70</v>
      </c>
      <c r="L7" s="116" t="s">
        <v>71</v>
      </c>
      <c r="M7" s="116" t="s">
        <v>70</v>
      </c>
      <c r="N7" s="116" t="s">
        <v>92</v>
      </c>
    </row>
    <row r="8" spans="1:14" s="42" customFormat="1" ht="12.75" thickBot="1">
      <c r="A8" s="203"/>
      <c r="B8" s="94"/>
      <c r="C8" s="94"/>
      <c r="D8" s="94"/>
      <c r="E8" s="94"/>
      <c r="F8" s="94"/>
      <c r="G8" s="44" t="s">
        <v>144</v>
      </c>
      <c r="H8" s="94"/>
      <c r="I8" s="94"/>
      <c r="J8" s="94"/>
      <c r="K8" s="94"/>
      <c r="L8" s="94"/>
      <c r="M8" s="95"/>
      <c r="N8" s="95"/>
    </row>
    <row r="9" spans="1:14" ht="12">
      <c r="A9" s="114" t="s">
        <v>122</v>
      </c>
      <c r="B9" s="132"/>
      <c r="C9" s="197">
        <f>SUM(C10:C21)</f>
        <v>22002762.021287307</v>
      </c>
      <c r="D9" s="117"/>
      <c r="E9" s="197">
        <v>14547530.381287318</v>
      </c>
      <c r="F9" s="117"/>
      <c r="G9" s="117"/>
      <c r="H9" s="117"/>
      <c r="I9" s="117"/>
      <c r="J9" s="117"/>
      <c r="K9" s="117"/>
      <c r="L9" s="117"/>
      <c r="M9" s="204"/>
      <c r="N9" s="204"/>
    </row>
    <row r="10" spans="1:14" ht="15" customHeight="1">
      <c r="A10" s="603" t="s">
        <v>25</v>
      </c>
      <c r="B10" s="604" t="s">
        <v>1</v>
      </c>
      <c r="C10" s="500">
        <v>2500376.262469178</v>
      </c>
      <c r="D10" s="605" t="s">
        <v>31</v>
      </c>
      <c r="E10" s="500">
        <v>1569638.6924691761</v>
      </c>
      <c r="F10" s="606">
        <v>0.02</v>
      </c>
      <c r="G10" s="607">
        <v>39167</v>
      </c>
      <c r="H10" s="607" t="s">
        <v>149</v>
      </c>
      <c r="I10" s="607" t="s">
        <v>74</v>
      </c>
      <c r="J10" s="608">
        <v>181</v>
      </c>
      <c r="K10" s="609">
        <v>39052</v>
      </c>
      <c r="L10" s="610">
        <v>168</v>
      </c>
      <c r="M10" s="699">
        <v>39448</v>
      </c>
      <c r="N10" s="731">
        <v>44531</v>
      </c>
    </row>
    <row r="11" spans="1:14" ht="15" customHeight="1">
      <c r="A11" s="611" t="s">
        <v>32</v>
      </c>
      <c r="B11" s="485" t="s">
        <v>21</v>
      </c>
      <c r="C11" s="612">
        <v>1359616.3</v>
      </c>
      <c r="D11" s="482" t="s">
        <v>31</v>
      </c>
      <c r="E11" s="612">
        <v>949988.27</v>
      </c>
      <c r="F11" s="613">
        <v>0.02</v>
      </c>
      <c r="G11" s="614">
        <v>39723</v>
      </c>
      <c r="H11" s="614" t="s">
        <v>149</v>
      </c>
      <c r="I11" s="614" t="s">
        <v>74</v>
      </c>
      <c r="J11" s="615">
        <v>168</v>
      </c>
      <c r="K11" s="616">
        <v>39448</v>
      </c>
      <c r="L11" s="617">
        <v>156</v>
      </c>
      <c r="M11" s="644">
        <v>39814</v>
      </c>
      <c r="N11" s="732">
        <v>44531</v>
      </c>
    </row>
    <row r="12" spans="1:14" ht="15" customHeight="1">
      <c r="A12" s="611" t="s">
        <v>35</v>
      </c>
      <c r="B12" s="485" t="s">
        <v>22</v>
      </c>
      <c r="C12" s="612">
        <v>2303529.7226432133</v>
      </c>
      <c r="D12" s="482" t="s">
        <v>31</v>
      </c>
      <c r="E12" s="612">
        <v>1494551.8626432105</v>
      </c>
      <c r="F12" s="613">
        <v>0.02</v>
      </c>
      <c r="G12" s="614">
        <v>39231</v>
      </c>
      <c r="H12" s="614" t="s">
        <v>149</v>
      </c>
      <c r="I12" s="614" t="s">
        <v>74</v>
      </c>
      <c r="J12" s="615">
        <v>181</v>
      </c>
      <c r="K12" s="616">
        <v>39052</v>
      </c>
      <c r="L12" s="617">
        <v>168</v>
      </c>
      <c r="M12" s="644">
        <v>39448</v>
      </c>
      <c r="N12" s="732">
        <v>44531</v>
      </c>
    </row>
    <row r="13" spans="1:14" ht="15" customHeight="1">
      <c r="A13" s="611" t="s">
        <v>39</v>
      </c>
      <c r="B13" s="485" t="s">
        <v>16</v>
      </c>
      <c r="C13" s="612">
        <v>4936239.090660734</v>
      </c>
      <c r="D13" s="482" t="s">
        <v>31</v>
      </c>
      <c r="E13" s="612">
        <v>3202678.870660736</v>
      </c>
      <c r="F13" s="613">
        <v>0.02</v>
      </c>
      <c r="G13" s="614">
        <v>39073</v>
      </c>
      <c r="H13" s="614" t="s">
        <v>149</v>
      </c>
      <c r="I13" s="614" t="s">
        <v>74</v>
      </c>
      <c r="J13" s="615">
        <v>181</v>
      </c>
      <c r="K13" s="616">
        <v>39052</v>
      </c>
      <c r="L13" s="617">
        <v>168</v>
      </c>
      <c r="M13" s="644">
        <v>39448</v>
      </c>
      <c r="N13" s="732">
        <v>44531</v>
      </c>
    </row>
    <row r="14" spans="1:14" ht="15" customHeight="1">
      <c r="A14" s="611" t="s">
        <v>41</v>
      </c>
      <c r="B14" s="485" t="s">
        <v>15</v>
      </c>
      <c r="C14" s="612">
        <v>482356.91559986485</v>
      </c>
      <c r="D14" s="482" t="s">
        <v>31</v>
      </c>
      <c r="E14" s="612">
        <v>312957.8855998658</v>
      </c>
      <c r="F14" s="613">
        <v>0.02</v>
      </c>
      <c r="G14" s="614">
        <v>39212</v>
      </c>
      <c r="H14" s="614" t="s">
        <v>149</v>
      </c>
      <c r="I14" s="614" t="s">
        <v>74</v>
      </c>
      <c r="J14" s="615">
        <v>181</v>
      </c>
      <c r="K14" s="616">
        <v>39052</v>
      </c>
      <c r="L14" s="617">
        <v>168</v>
      </c>
      <c r="M14" s="644">
        <v>39448</v>
      </c>
      <c r="N14" s="732">
        <v>44531</v>
      </c>
    </row>
    <row r="15" spans="1:14" ht="15" customHeight="1">
      <c r="A15" s="611" t="s">
        <v>43</v>
      </c>
      <c r="B15" s="485" t="s">
        <v>14</v>
      </c>
      <c r="C15" s="612">
        <v>290740.92</v>
      </c>
      <c r="D15" s="482" t="s">
        <v>31</v>
      </c>
      <c r="E15" s="612">
        <v>203146.02</v>
      </c>
      <c r="F15" s="613">
        <v>0.02</v>
      </c>
      <c r="G15" s="614">
        <v>39718</v>
      </c>
      <c r="H15" s="614" t="s">
        <v>149</v>
      </c>
      <c r="I15" s="614" t="s">
        <v>74</v>
      </c>
      <c r="J15" s="615">
        <v>168</v>
      </c>
      <c r="K15" s="616">
        <v>39448</v>
      </c>
      <c r="L15" s="617">
        <v>156</v>
      </c>
      <c r="M15" s="644">
        <v>39814</v>
      </c>
      <c r="N15" s="732">
        <v>44531</v>
      </c>
    </row>
    <row r="16" spans="1:14" ht="15" customHeight="1">
      <c r="A16" s="611" t="s">
        <v>45</v>
      </c>
      <c r="B16" s="485" t="s">
        <v>13</v>
      </c>
      <c r="C16" s="612">
        <v>1161487.4179999998</v>
      </c>
      <c r="D16" s="482" t="s">
        <v>31</v>
      </c>
      <c r="E16" s="612">
        <v>753584.0379999984</v>
      </c>
      <c r="F16" s="613">
        <v>0.02</v>
      </c>
      <c r="G16" s="614">
        <v>39212</v>
      </c>
      <c r="H16" s="614" t="s">
        <v>149</v>
      </c>
      <c r="I16" s="614" t="s">
        <v>74</v>
      </c>
      <c r="J16" s="615">
        <v>181</v>
      </c>
      <c r="K16" s="616">
        <v>39052</v>
      </c>
      <c r="L16" s="617">
        <v>168</v>
      </c>
      <c r="M16" s="644">
        <v>39448</v>
      </c>
      <c r="N16" s="732">
        <v>44531</v>
      </c>
    </row>
    <row r="17" spans="1:14" ht="15" customHeight="1">
      <c r="A17" s="611" t="s">
        <v>68</v>
      </c>
      <c r="B17" s="485" t="s">
        <v>3</v>
      </c>
      <c r="C17" s="612">
        <v>1083532.8307632452</v>
      </c>
      <c r="D17" s="482" t="s">
        <v>31</v>
      </c>
      <c r="E17" s="612">
        <v>703006.430763246</v>
      </c>
      <c r="F17" s="613">
        <v>0.02</v>
      </c>
      <c r="G17" s="614">
        <v>39141</v>
      </c>
      <c r="H17" s="614" t="s">
        <v>149</v>
      </c>
      <c r="I17" s="614" t="s">
        <v>74</v>
      </c>
      <c r="J17" s="615">
        <v>181</v>
      </c>
      <c r="K17" s="616">
        <v>39052</v>
      </c>
      <c r="L17" s="617">
        <v>168</v>
      </c>
      <c r="M17" s="644">
        <v>39448</v>
      </c>
      <c r="N17" s="732">
        <v>44531</v>
      </c>
    </row>
    <row r="18" spans="1:14" ht="15" customHeight="1">
      <c r="A18" s="611" t="s">
        <v>57</v>
      </c>
      <c r="B18" s="485" t="s">
        <v>12</v>
      </c>
      <c r="C18" s="612">
        <v>1732864.4333385753</v>
      </c>
      <c r="D18" s="482" t="s">
        <v>31</v>
      </c>
      <c r="E18" s="612">
        <v>1124298.9033385797</v>
      </c>
      <c r="F18" s="613">
        <v>0.02</v>
      </c>
      <c r="G18" s="614">
        <v>39344</v>
      </c>
      <c r="H18" s="614" t="s">
        <v>149</v>
      </c>
      <c r="I18" s="614" t="s">
        <v>74</v>
      </c>
      <c r="J18" s="615">
        <v>181</v>
      </c>
      <c r="K18" s="616">
        <v>39052</v>
      </c>
      <c r="L18" s="617">
        <v>168</v>
      </c>
      <c r="M18" s="644">
        <v>39448</v>
      </c>
      <c r="N18" s="732">
        <v>44531</v>
      </c>
    </row>
    <row r="19" spans="1:14" ht="15" customHeight="1">
      <c r="A19" s="611" t="s">
        <v>58</v>
      </c>
      <c r="B19" s="485" t="s">
        <v>4</v>
      </c>
      <c r="C19" s="612">
        <v>1299302.5678125</v>
      </c>
      <c r="D19" s="482" t="s">
        <v>31</v>
      </c>
      <c r="E19" s="612">
        <v>843000.0078125033</v>
      </c>
      <c r="F19" s="613">
        <v>0.02</v>
      </c>
      <c r="G19" s="614">
        <v>39262</v>
      </c>
      <c r="H19" s="614" t="s">
        <v>149</v>
      </c>
      <c r="I19" s="614" t="s">
        <v>74</v>
      </c>
      <c r="J19" s="615">
        <v>181</v>
      </c>
      <c r="K19" s="616">
        <v>39052</v>
      </c>
      <c r="L19" s="617">
        <v>168</v>
      </c>
      <c r="M19" s="644">
        <v>39448</v>
      </c>
      <c r="N19" s="732">
        <v>44531</v>
      </c>
    </row>
    <row r="20" spans="1:14" ht="15" customHeight="1">
      <c r="A20" s="611" t="s">
        <v>62</v>
      </c>
      <c r="B20" s="485" t="s">
        <v>10</v>
      </c>
      <c r="C20" s="612">
        <v>367530.83</v>
      </c>
      <c r="D20" s="482" t="s">
        <v>31</v>
      </c>
      <c r="E20" s="612">
        <v>256800.24000000124</v>
      </c>
      <c r="F20" s="613">
        <v>0.02</v>
      </c>
      <c r="G20" s="614">
        <v>39727</v>
      </c>
      <c r="H20" s="614" t="s">
        <v>149</v>
      </c>
      <c r="I20" s="614" t="s">
        <v>74</v>
      </c>
      <c r="J20" s="615">
        <v>168</v>
      </c>
      <c r="K20" s="616">
        <v>39448</v>
      </c>
      <c r="L20" s="617">
        <v>156</v>
      </c>
      <c r="M20" s="644">
        <v>39814</v>
      </c>
      <c r="N20" s="732">
        <v>44531</v>
      </c>
    </row>
    <row r="21" spans="1:14" ht="15" customHeight="1">
      <c r="A21" s="618" t="s">
        <v>65</v>
      </c>
      <c r="B21" s="486" t="s">
        <v>11</v>
      </c>
      <c r="C21" s="501">
        <v>4485184.73</v>
      </c>
      <c r="D21" s="619" t="s">
        <v>31</v>
      </c>
      <c r="E21" s="501">
        <v>3133879.16</v>
      </c>
      <c r="F21" s="620">
        <v>0.02</v>
      </c>
      <c r="G21" s="621">
        <v>39727</v>
      </c>
      <c r="H21" s="621" t="s">
        <v>149</v>
      </c>
      <c r="I21" s="621" t="s">
        <v>74</v>
      </c>
      <c r="J21" s="622">
        <v>168</v>
      </c>
      <c r="K21" s="623">
        <v>39448</v>
      </c>
      <c r="L21" s="624">
        <v>156</v>
      </c>
      <c r="M21" s="700">
        <v>39814</v>
      </c>
      <c r="N21" s="733">
        <v>44531</v>
      </c>
    </row>
    <row r="22" spans="1:14" ht="12" hidden="1">
      <c r="A22" s="135" t="s">
        <v>123</v>
      </c>
      <c r="B22" s="117"/>
      <c r="C22" s="198">
        <f>SUM(C23:C25)</f>
        <v>43330.68</v>
      </c>
      <c r="D22" s="117"/>
      <c r="E22" s="198">
        <v>0</v>
      </c>
      <c r="F22" s="117"/>
      <c r="G22" s="117"/>
      <c r="H22" s="117"/>
      <c r="I22" s="117"/>
      <c r="J22" s="117"/>
      <c r="K22" s="117"/>
      <c r="L22" s="117"/>
      <c r="M22" s="204"/>
      <c r="N22" s="204"/>
    </row>
    <row r="23" spans="1:14" ht="15" customHeight="1" hidden="1">
      <c r="A23" s="603" t="s">
        <v>47</v>
      </c>
      <c r="B23" s="604" t="s">
        <v>9</v>
      </c>
      <c r="C23" s="500">
        <v>14443.56</v>
      </c>
      <c r="D23" s="605" t="s">
        <v>31</v>
      </c>
      <c r="E23" s="500"/>
      <c r="F23" s="606">
        <v>0.0776</v>
      </c>
      <c r="G23" s="607">
        <v>39936</v>
      </c>
      <c r="H23" s="607" t="s">
        <v>150</v>
      </c>
      <c r="I23" s="607" t="s">
        <v>74</v>
      </c>
      <c r="J23" s="608">
        <v>43</v>
      </c>
      <c r="K23" s="609">
        <v>36510</v>
      </c>
      <c r="L23" s="610">
        <v>40</v>
      </c>
      <c r="M23" s="699">
        <v>36785</v>
      </c>
      <c r="N23" s="734">
        <v>40345</v>
      </c>
    </row>
    <row r="24" spans="1:14" ht="15" customHeight="1" hidden="1">
      <c r="A24" s="611" t="s">
        <v>53</v>
      </c>
      <c r="B24" s="485" t="s">
        <v>7</v>
      </c>
      <c r="C24" s="612">
        <v>14443.56</v>
      </c>
      <c r="D24" s="482" t="s">
        <v>31</v>
      </c>
      <c r="E24" s="612"/>
      <c r="F24" s="613">
        <v>0.0776</v>
      </c>
      <c r="G24" s="614">
        <v>39936</v>
      </c>
      <c r="H24" s="614" t="s">
        <v>150</v>
      </c>
      <c r="I24" s="614" t="s">
        <v>74</v>
      </c>
      <c r="J24" s="615">
        <v>43</v>
      </c>
      <c r="K24" s="616">
        <v>36510</v>
      </c>
      <c r="L24" s="617">
        <v>40</v>
      </c>
      <c r="M24" s="644">
        <v>36785</v>
      </c>
      <c r="N24" s="735">
        <v>40345</v>
      </c>
    </row>
    <row r="25" spans="1:14" ht="15" customHeight="1" hidden="1">
      <c r="A25" s="618" t="s">
        <v>54</v>
      </c>
      <c r="B25" s="486" t="s">
        <v>23</v>
      </c>
      <c r="C25" s="501">
        <v>14443.56</v>
      </c>
      <c r="D25" s="619" t="s">
        <v>31</v>
      </c>
      <c r="E25" s="501"/>
      <c r="F25" s="620">
        <v>0.0776</v>
      </c>
      <c r="G25" s="621">
        <v>39936</v>
      </c>
      <c r="H25" s="621" t="s">
        <v>150</v>
      </c>
      <c r="I25" s="621" t="s">
        <v>74</v>
      </c>
      <c r="J25" s="622">
        <v>43</v>
      </c>
      <c r="K25" s="623">
        <v>36510</v>
      </c>
      <c r="L25" s="624">
        <v>40</v>
      </c>
      <c r="M25" s="700">
        <v>36785</v>
      </c>
      <c r="N25" s="736">
        <v>40345</v>
      </c>
    </row>
    <row r="26" spans="1:14" ht="12">
      <c r="A26" s="135" t="s">
        <v>124</v>
      </c>
      <c r="B26" s="117"/>
      <c r="C26" s="198">
        <f>SUM(C27)</f>
        <v>1082651.1086901934</v>
      </c>
      <c r="D26" s="117"/>
      <c r="E26" s="198">
        <v>0</v>
      </c>
      <c r="F26" s="117"/>
      <c r="G26" s="117"/>
      <c r="H26" s="117"/>
      <c r="I26" s="117"/>
      <c r="J26" s="117"/>
      <c r="K26" s="117"/>
      <c r="L26" s="117"/>
      <c r="M26" s="204"/>
      <c r="N26" s="204"/>
    </row>
    <row r="27" spans="1:14" ht="15" customHeight="1" thickBot="1">
      <c r="A27" s="205" t="s">
        <v>56</v>
      </c>
      <c r="B27" s="5" t="s">
        <v>7</v>
      </c>
      <c r="C27" s="169">
        <v>1082651.1086901934</v>
      </c>
      <c r="D27" s="7" t="s">
        <v>31</v>
      </c>
      <c r="E27" s="708">
        <v>0</v>
      </c>
      <c r="F27" s="121">
        <v>0.0776</v>
      </c>
      <c r="G27" s="120">
        <v>37888</v>
      </c>
      <c r="H27" s="4" t="s">
        <v>150</v>
      </c>
      <c r="I27" s="120" t="s">
        <v>74</v>
      </c>
      <c r="J27" s="122">
        <v>28</v>
      </c>
      <c r="K27" s="123">
        <v>38272</v>
      </c>
      <c r="L27" s="124">
        <v>27</v>
      </c>
      <c r="M27" s="738">
        <v>38364</v>
      </c>
      <c r="N27" s="737">
        <f>+M27+365*6.5</f>
        <v>40736.5</v>
      </c>
    </row>
    <row r="28" spans="1:14" s="42" customFormat="1" ht="12.75" thickBot="1">
      <c r="A28" s="102" t="s">
        <v>120</v>
      </c>
      <c r="B28" s="102"/>
      <c r="C28" s="199">
        <f>C9+C22+C26</f>
        <v>23128743.8099775</v>
      </c>
      <c r="D28" s="119"/>
      <c r="E28" s="199">
        <v>14547530.381287318</v>
      </c>
      <c r="F28" s="119"/>
      <c r="G28" s="119"/>
      <c r="H28" s="119"/>
      <c r="I28" s="119"/>
      <c r="J28" s="119"/>
      <c r="K28" s="119"/>
      <c r="L28" s="119"/>
      <c r="M28" s="118"/>
      <c r="N28" s="118"/>
    </row>
    <row r="29" spans="1:14" s="42" customFormat="1" ht="12.75" thickBot="1">
      <c r="A29" s="207"/>
      <c r="B29" s="103"/>
      <c r="C29" s="39"/>
      <c r="D29" s="104"/>
      <c r="E29" s="104"/>
      <c r="F29" s="103"/>
      <c r="G29" s="78" t="s">
        <v>132</v>
      </c>
      <c r="H29" s="103"/>
      <c r="I29" s="103"/>
      <c r="J29" s="103"/>
      <c r="K29" s="103"/>
      <c r="L29" s="103"/>
      <c r="M29" s="105"/>
      <c r="N29" s="105"/>
    </row>
    <row r="30" spans="1:14" s="42" customFormat="1" ht="12.75" thickBot="1">
      <c r="A30" s="750" t="s">
        <v>315</v>
      </c>
      <c r="B30" s="751"/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2"/>
    </row>
    <row r="31" spans="1:14" s="42" customFormat="1" ht="12">
      <c r="A31" s="133" t="s">
        <v>28</v>
      </c>
      <c r="B31" s="125"/>
      <c r="C31" s="200">
        <f>SUM(C32)</f>
        <v>6976222.4</v>
      </c>
      <c r="D31" s="126"/>
      <c r="E31" s="200">
        <v>3683618.16</v>
      </c>
      <c r="F31" s="125"/>
      <c r="G31" s="127"/>
      <c r="H31" s="125"/>
      <c r="I31" s="125"/>
      <c r="J31" s="125"/>
      <c r="K31" s="125"/>
      <c r="L31" s="125"/>
      <c r="M31" s="125"/>
      <c r="N31" s="128"/>
    </row>
    <row r="32" spans="1:14" ht="15" customHeight="1">
      <c r="A32" s="205" t="s">
        <v>24</v>
      </c>
      <c r="B32" s="5" t="s">
        <v>1</v>
      </c>
      <c r="C32" s="169">
        <v>6976222.4</v>
      </c>
      <c r="D32" s="7" t="s">
        <v>145</v>
      </c>
      <c r="E32" s="169">
        <v>3683618.16</v>
      </c>
      <c r="F32" s="3">
        <v>0.06</v>
      </c>
      <c r="G32" s="4">
        <v>39037</v>
      </c>
      <c r="H32" s="4" t="s">
        <v>148</v>
      </c>
      <c r="I32" s="4" t="s">
        <v>73</v>
      </c>
      <c r="J32" s="6">
        <v>21</v>
      </c>
      <c r="K32" s="26">
        <v>39082</v>
      </c>
      <c r="L32" s="8">
        <v>21</v>
      </c>
      <c r="M32" s="26">
        <v>39082</v>
      </c>
      <c r="N32" s="644">
        <v>41517</v>
      </c>
    </row>
    <row r="33" spans="1:14" s="42" customFormat="1" ht="12">
      <c r="A33" s="634" t="s">
        <v>125</v>
      </c>
      <c r="B33" s="635"/>
      <c r="C33" s="636">
        <f>SUM(C34:C50)</f>
        <v>70601385</v>
      </c>
      <c r="D33" s="637"/>
      <c r="E33" s="636">
        <v>27341303.12</v>
      </c>
      <c r="F33" s="635"/>
      <c r="G33" s="638"/>
      <c r="H33" s="635"/>
      <c r="I33" s="635"/>
      <c r="J33" s="635"/>
      <c r="K33" s="635"/>
      <c r="L33" s="635"/>
      <c r="M33" s="635"/>
      <c r="N33" s="639"/>
    </row>
    <row r="34" spans="1:14" ht="15" customHeight="1">
      <c r="A34" s="603" t="s">
        <v>26</v>
      </c>
      <c r="B34" s="604" t="s">
        <v>1</v>
      </c>
      <c r="C34" s="500">
        <v>7000000</v>
      </c>
      <c r="D34" s="605" t="s">
        <v>145</v>
      </c>
      <c r="E34" s="500">
        <v>2784639</v>
      </c>
      <c r="F34" s="606">
        <v>0.12</v>
      </c>
      <c r="G34" s="607">
        <v>39727</v>
      </c>
      <c r="H34" s="607" t="s">
        <v>149</v>
      </c>
      <c r="I34" s="607" t="s">
        <v>73</v>
      </c>
      <c r="J34" s="608">
        <v>60</v>
      </c>
      <c r="K34" s="609">
        <v>39995</v>
      </c>
      <c r="L34" s="610">
        <v>54</v>
      </c>
      <c r="M34" s="609">
        <f aca="true" t="shared" si="0" ref="M34:M50">+K34+(7*30)</f>
        <v>40205</v>
      </c>
      <c r="N34" s="699">
        <f aca="true" t="shared" si="1" ref="N34:N50">+M34+((L34-1)*30)</f>
        <v>41795</v>
      </c>
    </row>
    <row r="35" spans="1:14" ht="15" customHeight="1">
      <c r="A35" s="611" t="s">
        <v>33</v>
      </c>
      <c r="B35" s="485" t="s">
        <v>21</v>
      </c>
      <c r="C35" s="612">
        <v>4000000</v>
      </c>
      <c r="D35" s="482" t="s">
        <v>145</v>
      </c>
      <c r="E35" s="612">
        <v>1720240.06</v>
      </c>
      <c r="F35" s="613">
        <v>0.12</v>
      </c>
      <c r="G35" s="614">
        <v>39752</v>
      </c>
      <c r="H35" s="614" t="s">
        <v>149</v>
      </c>
      <c r="I35" s="614" t="s">
        <v>73</v>
      </c>
      <c r="J35" s="615">
        <v>60</v>
      </c>
      <c r="K35" s="616">
        <v>39995</v>
      </c>
      <c r="L35" s="617">
        <v>54</v>
      </c>
      <c r="M35" s="616">
        <f t="shared" si="0"/>
        <v>40205</v>
      </c>
      <c r="N35" s="644">
        <f t="shared" si="1"/>
        <v>41795</v>
      </c>
    </row>
    <row r="36" spans="1:14" ht="15" customHeight="1">
      <c r="A36" s="611" t="s">
        <v>36</v>
      </c>
      <c r="B36" s="485" t="s">
        <v>22</v>
      </c>
      <c r="C36" s="612">
        <v>4000000</v>
      </c>
      <c r="D36" s="482" t="s">
        <v>145</v>
      </c>
      <c r="E36" s="612">
        <v>660508.22</v>
      </c>
      <c r="F36" s="613">
        <v>0.12</v>
      </c>
      <c r="G36" s="614">
        <v>39727</v>
      </c>
      <c r="H36" s="614" t="s">
        <v>149</v>
      </c>
      <c r="I36" s="614" t="s">
        <v>73</v>
      </c>
      <c r="J36" s="615">
        <v>60</v>
      </c>
      <c r="K36" s="616">
        <v>39995</v>
      </c>
      <c r="L36" s="617">
        <v>54</v>
      </c>
      <c r="M36" s="616">
        <f t="shared" si="0"/>
        <v>40205</v>
      </c>
      <c r="N36" s="644">
        <f t="shared" si="1"/>
        <v>41795</v>
      </c>
    </row>
    <row r="37" spans="1:14" ht="15" customHeight="1">
      <c r="A37" s="611" t="s">
        <v>40</v>
      </c>
      <c r="B37" s="485" t="s">
        <v>16</v>
      </c>
      <c r="C37" s="612">
        <v>8000000</v>
      </c>
      <c r="D37" s="482" t="s">
        <v>145</v>
      </c>
      <c r="E37" s="612">
        <v>3292897.94</v>
      </c>
      <c r="F37" s="613">
        <v>0.12</v>
      </c>
      <c r="G37" s="614">
        <v>39727</v>
      </c>
      <c r="H37" s="614" t="s">
        <v>149</v>
      </c>
      <c r="I37" s="614" t="s">
        <v>73</v>
      </c>
      <c r="J37" s="615">
        <v>60</v>
      </c>
      <c r="K37" s="616">
        <v>39995</v>
      </c>
      <c r="L37" s="617">
        <v>54</v>
      </c>
      <c r="M37" s="616">
        <f t="shared" si="0"/>
        <v>40205</v>
      </c>
      <c r="N37" s="644">
        <f t="shared" si="1"/>
        <v>41795</v>
      </c>
    </row>
    <row r="38" spans="1:14" ht="15" customHeight="1">
      <c r="A38" s="611" t="s">
        <v>42</v>
      </c>
      <c r="B38" s="485" t="s">
        <v>15</v>
      </c>
      <c r="C38" s="612">
        <v>2000000</v>
      </c>
      <c r="D38" s="482" t="s">
        <v>145</v>
      </c>
      <c r="E38" s="612">
        <v>423112.72</v>
      </c>
      <c r="F38" s="613">
        <v>0.12</v>
      </c>
      <c r="G38" s="614">
        <v>39752</v>
      </c>
      <c r="H38" s="614" t="s">
        <v>149</v>
      </c>
      <c r="I38" s="614" t="s">
        <v>73</v>
      </c>
      <c r="J38" s="615">
        <v>60</v>
      </c>
      <c r="K38" s="616">
        <v>39995</v>
      </c>
      <c r="L38" s="617">
        <v>54</v>
      </c>
      <c r="M38" s="616">
        <f t="shared" si="0"/>
        <v>40205</v>
      </c>
      <c r="N38" s="644">
        <f t="shared" si="1"/>
        <v>41795</v>
      </c>
    </row>
    <row r="39" spans="1:14" ht="15" customHeight="1">
      <c r="A39" s="611" t="s">
        <v>44</v>
      </c>
      <c r="B39" s="485" t="s">
        <v>14</v>
      </c>
      <c r="C39" s="612">
        <v>1528385</v>
      </c>
      <c r="D39" s="482" t="s">
        <v>145</v>
      </c>
      <c r="E39" s="612">
        <v>481423.68</v>
      </c>
      <c r="F39" s="613">
        <v>0.12</v>
      </c>
      <c r="G39" s="614">
        <v>39727</v>
      </c>
      <c r="H39" s="614" t="s">
        <v>149</v>
      </c>
      <c r="I39" s="614" t="s">
        <v>73</v>
      </c>
      <c r="J39" s="615">
        <v>60</v>
      </c>
      <c r="K39" s="616">
        <v>39995</v>
      </c>
      <c r="L39" s="617">
        <v>54</v>
      </c>
      <c r="M39" s="616">
        <f t="shared" si="0"/>
        <v>40205</v>
      </c>
      <c r="N39" s="644">
        <f t="shared" si="1"/>
        <v>41795</v>
      </c>
    </row>
    <row r="40" spans="1:14" ht="15" customHeight="1">
      <c r="A40" s="611" t="s">
        <v>46</v>
      </c>
      <c r="B40" s="485" t="s">
        <v>13</v>
      </c>
      <c r="C40" s="612">
        <v>6000000</v>
      </c>
      <c r="D40" s="482" t="s">
        <v>145</v>
      </c>
      <c r="E40" s="612">
        <v>2511005.16</v>
      </c>
      <c r="F40" s="613">
        <v>0.12</v>
      </c>
      <c r="G40" s="614">
        <v>39727</v>
      </c>
      <c r="H40" s="614" t="s">
        <v>149</v>
      </c>
      <c r="I40" s="614" t="s">
        <v>73</v>
      </c>
      <c r="J40" s="615">
        <v>60</v>
      </c>
      <c r="K40" s="616">
        <v>39995</v>
      </c>
      <c r="L40" s="617">
        <v>54</v>
      </c>
      <c r="M40" s="616">
        <f t="shared" si="0"/>
        <v>40205</v>
      </c>
      <c r="N40" s="644">
        <f t="shared" si="1"/>
        <v>41795</v>
      </c>
    </row>
    <row r="41" spans="1:14" ht="15" customHeight="1">
      <c r="A41" s="611" t="s">
        <v>48</v>
      </c>
      <c r="B41" s="485" t="s">
        <v>9</v>
      </c>
      <c r="C41" s="612">
        <v>2000000</v>
      </c>
      <c r="D41" s="482" t="s">
        <v>145</v>
      </c>
      <c r="E41" s="612">
        <v>828797.81</v>
      </c>
      <c r="F41" s="613">
        <v>0.12</v>
      </c>
      <c r="G41" s="614">
        <v>39727</v>
      </c>
      <c r="H41" s="614" t="s">
        <v>149</v>
      </c>
      <c r="I41" s="614" t="s">
        <v>73</v>
      </c>
      <c r="J41" s="615">
        <v>60</v>
      </c>
      <c r="K41" s="616">
        <v>39995</v>
      </c>
      <c r="L41" s="617">
        <v>54</v>
      </c>
      <c r="M41" s="616">
        <f t="shared" si="0"/>
        <v>40205</v>
      </c>
      <c r="N41" s="644">
        <f t="shared" si="1"/>
        <v>41795</v>
      </c>
    </row>
    <row r="42" spans="1:14" ht="15" customHeight="1">
      <c r="A42" s="611" t="s">
        <v>50</v>
      </c>
      <c r="B42" s="485" t="s">
        <v>8</v>
      </c>
      <c r="C42" s="612">
        <v>6000000</v>
      </c>
      <c r="D42" s="482" t="s">
        <v>145</v>
      </c>
      <c r="E42" s="612">
        <v>2486393.38</v>
      </c>
      <c r="F42" s="613">
        <v>0.12</v>
      </c>
      <c r="G42" s="614">
        <v>39727</v>
      </c>
      <c r="H42" s="614" t="s">
        <v>149</v>
      </c>
      <c r="I42" s="614" t="s">
        <v>73</v>
      </c>
      <c r="J42" s="615">
        <v>60</v>
      </c>
      <c r="K42" s="616">
        <v>39995</v>
      </c>
      <c r="L42" s="617">
        <v>54</v>
      </c>
      <c r="M42" s="616">
        <f t="shared" si="0"/>
        <v>40205</v>
      </c>
      <c r="N42" s="644">
        <f t="shared" si="1"/>
        <v>41795</v>
      </c>
    </row>
    <row r="43" spans="1:14" ht="15" customHeight="1">
      <c r="A43" s="611" t="s">
        <v>69</v>
      </c>
      <c r="B43" s="485" t="s">
        <v>3</v>
      </c>
      <c r="C43" s="612">
        <v>6600000</v>
      </c>
      <c r="D43" s="482" t="s">
        <v>145</v>
      </c>
      <c r="E43" s="612">
        <v>2745217.55</v>
      </c>
      <c r="F43" s="613">
        <v>0.12</v>
      </c>
      <c r="G43" s="614">
        <v>39727</v>
      </c>
      <c r="H43" s="614" t="s">
        <v>149</v>
      </c>
      <c r="I43" s="614" t="s">
        <v>73</v>
      </c>
      <c r="J43" s="615">
        <v>60</v>
      </c>
      <c r="K43" s="616">
        <v>39995</v>
      </c>
      <c r="L43" s="617">
        <v>54</v>
      </c>
      <c r="M43" s="616">
        <f t="shared" si="0"/>
        <v>40205</v>
      </c>
      <c r="N43" s="644">
        <f t="shared" si="1"/>
        <v>41795</v>
      </c>
    </row>
    <row r="44" spans="1:14" ht="15" customHeight="1">
      <c r="A44" s="611" t="s">
        <v>52</v>
      </c>
      <c r="B44" s="485" t="s">
        <v>5</v>
      </c>
      <c r="C44" s="612">
        <v>4798000</v>
      </c>
      <c r="D44" s="482" t="s">
        <v>145</v>
      </c>
      <c r="E44" s="612">
        <v>2016727.11</v>
      </c>
      <c r="F44" s="613">
        <v>0.12</v>
      </c>
      <c r="G44" s="614">
        <v>39752</v>
      </c>
      <c r="H44" s="614" t="s">
        <v>149</v>
      </c>
      <c r="I44" s="614" t="s">
        <v>73</v>
      </c>
      <c r="J44" s="615">
        <v>60</v>
      </c>
      <c r="K44" s="616">
        <v>39995</v>
      </c>
      <c r="L44" s="617">
        <v>54</v>
      </c>
      <c r="M44" s="616">
        <f t="shared" si="0"/>
        <v>40205</v>
      </c>
      <c r="N44" s="644">
        <f t="shared" si="1"/>
        <v>41795</v>
      </c>
    </row>
    <row r="45" spans="1:14" ht="15" customHeight="1">
      <c r="A45" s="611" t="s">
        <v>55</v>
      </c>
      <c r="B45" s="485" t="s">
        <v>7</v>
      </c>
      <c r="C45" s="612">
        <v>2500000</v>
      </c>
      <c r="D45" s="482" t="s">
        <v>145</v>
      </c>
      <c r="E45" s="612">
        <v>1043118.54</v>
      </c>
      <c r="F45" s="613">
        <v>0.12</v>
      </c>
      <c r="G45" s="614">
        <v>39727</v>
      </c>
      <c r="H45" s="614" t="s">
        <v>149</v>
      </c>
      <c r="I45" s="614" t="s">
        <v>73</v>
      </c>
      <c r="J45" s="615">
        <v>60</v>
      </c>
      <c r="K45" s="616">
        <v>39995</v>
      </c>
      <c r="L45" s="617">
        <v>54</v>
      </c>
      <c r="M45" s="616">
        <f t="shared" si="0"/>
        <v>40205</v>
      </c>
      <c r="N45" s="644">
        <f t="shared" si="1"/>
        <v>41795</v>
      </c>
    </row>
    <row r="46" spans="1:14" ht="15" customHeight="1">
      <c r="A46" s="611" t="s">
        <v>169</v>
      </c>
      <c r="B46" s="485" t="s">
        <v>12</v>
      </c>
      <c r="C46" s="612">
        <v>4500000</v>
      </c>
      <c r="D46" s="482" t="s">
        <v>145</v>
      </c>
      <c r="E46" s="612">
        <v>1948621.46</v>
      </c>
      <c r="F46" s="613">
        <v>0.12</v>
      </c>
      <c r="G46" s="614">
        <v>39727</v>
      </c>
      <c r="H46" s="614" t="s">
        <v>149</v>
      </c>
      <c r="I46" s="614" t="s">
        <v>73</v>
      </c>
      <c r="J46" s="615">
        <v>60</v>
      </c>
      <c r="K46" s="616">
        <v>39995</v>
      </c>
      <c r="L46" s="617">
        <v>54</v>
      </c>
      <c r="M46" s="616">
        <f t="shared" si="0"/>
        <v>40205</v>
      </c>
      <c r="N46" s="644">
        <f t="shared" si="1"/>
        <v>41795</v>
      </c>
    </row>
    <row r="47" spans="1:14" ht="15" customHeight="1">
      <c r="A47" s="611" t="s">
        <v>59</v>
      </c>
      <c r="B47" s="485" t="s">
        <v>4</v>
      </c>
      <c r="C47" s="612">
        <v>3075000</v>
      </c>
      <c r="D47" s="482" t="s">
        <v>145</v>
      </c>
      <c r="E47" s="612">
        <v>1274276.62</v>
      </c>
      <c r="F47" s="613">
        <v>0.12</v>
      </c>
      <c r="G47" s="614">
        <v>39727</v>
      </c>
      <c r="H47" s="614" t="s">
        <v>149</v>
      </c>
      <c r="I47" s="614" t="s">
        <v>73</v>
      </c>
      <c r="J47" s="615">
        <v>60</v>
      </c>
      <c r="K47" s="616">
        <v>39995</v>
      </c>
      <c r="L47" s="617">
        <v>54</v>
      </c>
      <c r="M47" s="616">
        <f t="shared" si="0"/>
        <v>40205</v>
      </c>
      <c r="N47" s="644">
        <f t="shared" si="1"/>
        <v>41795</v>
      </c>
    </row>
    <row r="48" spans="1:14" ht="15" customHeight="1">
      <c r="A48" s="611" t="s">
        <v>63</v>
      </c>
      <c r="B48" s="485" t="s">
        <v>10</v>
      </c>
      <c r="C48" s="612">
        <v>2500000</v>
      </c>
      <c r="D48" s="482" t="s">
        <v>145</v>
      </c>
      <c r="E48" s="612">
        <v>1121914.92</v>
      </c>
      <c r="F48" s="613">
        <v>0.12</v>
      </c>
      <c r="G48" s="614">
        <v>39752</v>
      </c>
      <c r="H48" s="614" t="s">
        <v>149</v>
      </c>
      <c r="I48" s="614" t="s">
        <v>73</v>
      </c>
      <c r="J48" s="615">
        <v>60</v>
      </c>
      <c r="K48" s="616">
        <v>39995</v>
      </c>
      <c r="L48" s="617">
        <v>54</v>
      </c>
      <c r="M48" s="616">
        <f t="shared" si="0"/>
        <v>40205</v>
      </c>
      <c r="N48" s="644">
        <f t="shared" si="1"/>
        <v>41795</v>
      </c>
    </row>
    <row r="49" spans="1:14" ht="15" customHeight="1">
      <c r="A49" s="611" t="s">
        <v>66</v>
      </c>
      <c r="B49" s="485" t="s">
        <v>11</v>
      </c>
      <c r="C49" s="612">
        <v>5000000</v>
      </c>
      <c r="D49" s="482" t="s">
        <v>145</v>
      </c>
      <c r="E49" s="612">
        <v>1535445.25</v>
      </c>
      <c r="F49" s="613">
        <v>0.12</v>
      </c>
      <c r="G49" s="614">
        <v>39727</v>
      </c>
      <c r="H49" s="614" t="s">
        <v>149</v>
      </c>
      <c r="I49" s="614" t="s">
        <v>73</v>
      </c>
      <c r="J49" s="615">
        <v>60</v>
      </c>
      <c r="K49" s="616">
        <v>39995</v>
      </c>
      <c r="L49" s="617">
        <v>54</v>
      </c>
      <c r="M49" s="616">
        <f t="shared" si="0"/>
        <v>40205</v>
      </c>
      <c r="N49" s="644">
        <f t="shared" si="1"/>
        <v>41795</v>
      </c>
    </row>
    <row r="50" spans="1:14" ht="15" customHeight="1">
      <c r="A50" s="618" t="s">
        <v>67</v>
      </c>
      <c r="B50" s="486" t="s">
        <v>6</v>
      </c>
      <c r="C50" s="501">
        <v>1100000</v>
      </c>
      <c r="D50" s="619" t="s">
        <v>145</v>
      </c>
      <c r="E50" s="501">
        <v>466963.7</v>
      </c>
      <c r="F50" s="620">
        <v>0.12</v>
      </c>
      <c r="G50" s="621">
        <v>39727</v>
      </c>
      <c r="H50" s="621" t="s">
        <v>149</v>
      </c>
      <c r="I50" s="621" t="s">
        <v>73</v>
      </c>
      <c r="J50" s="622">
        <v>60</v>
      </c>
      <c r="K50" s="623">
        <v>39995</v>
      </c>
      <c r="L50" s="624">
        <v>54</v>
      </c>
      <c r="M50" s="623">
        <f t="shared" si="0"/>
        <v>40205</v>
      </c>
      <c r="N50" s="700">
        <f t="shared" si="1"/>
        <v>41795</v>
      </c>
    </row>
    <row r="51" spans="1:14" s="42" customFormat="1" ht="12">
      <c r="A51" s="134" t="s">
        <v>27</v>
      </c>
      <c r="B51" s="129"/>
      <c r="C51" s="201">
        <f>SUM(C52:C54)</f>
        <v>20873530</v>
      </c>
      <c r="D51" s="130"/>
      <c r="E51" s="201">
        <v>10687588.030000001</v>
      </c>
      <c r="F51" s="129"/>
      <c r="G51" s="131"/>
      <c r="H51" s="129"/>
      <c r="I51" s="129"/>
      <c r="J51" s="129"/>
      <c r="K51" s="129"/>
      <c r="L51" s="129"/>
      <c r="M51" s="129"/>
      <c r="N51" s="208"/>
    </row>
    <row r="52" spans="1:14" ht="15" customHeight="1">
      <c r="A52" s="603" t="s">
        <v>34</v>
      </c>
      <c r="B52" s="604" t="s">
        <v>22</v>
      </c>
      <c r="C52" s="500">
        <v>12741050</v>
      </c>
      <c r="D52" s="605" t="s">
        <v>146</v>
      </c>
      <c r="E52" s="500">
        <v>0</v>
      </c>
      <c r="F52" s="606">
        <v>0.02</v>
      </c>
      <c r="G52" s="607">
        <v>38036</v>
      </c>
      <c r="H52" s="607" t="s">
        <v>149</v>
      </c>
      <c r="I52" s="640" t="s">
        <v>80</v>
      </c>
      <c r="J52" s="608">
        <v>185</v>
      </c>
      <c r="K52" s="609">
        <v>37533</v>
      </c>
      <c r="L52" s="610">
        <v>156</v>
      </c>
      <c r="M52" s="609">
        <v>38415</v>
      </c>
      <c r="N52" s="699">
        <v>43135</v>
      </c>
    </row>
    <row r="53" spans="1:14" ht="15" customHeight="1">
      <c r="A53" s="611" t="s">
        <v>49</v>
      </c>
      <c r="B53" s="485" t="s">
        <v>8</v>
      </c>
      <c r="C53" s="612">
        <v>7656670</v>
      </c>
      <c r="D53" s="482" t="s">
        <v>146</v>
      </c>
      <c r="E53" s="612">
        <v>10062285.32</v>
      </c>
      <c r="F53" s="613">
        <v>0.02</v>
      </c>
      <c r="G53" s="614">
        <v>38057</v>
      </c>
      <c r="H53" s="614" t="s">
        <v>149</v>
      </c>
      <c r="I53" s="641" t="s">
        <v>80</v>
      </c>
      <c r="J53" s="615">
        <v>185</v>
      </c>
      <c r="K53" s="616">
        <v>37533</v>
      </c>
      <c r="L53" s="617">
        <v>156</v>
      </c>
      <c r="M53" s="616">
        <v>38415</v>
      </c>
      <c r="N53" s="644">
        <v>43135</v>
      </c>
    </row>
    <row r="54" spans="1:14" ht="15" customHeight="1">
      <c r="A54" s="618" t="s">
        <v>64</v>
      </c>
      <c r="B54" s="486" t="s">
        <v>11</v>
      </c>
      <c r="C54" s="501">
        <v>475810</v>
      </c>
      <c r="D54" s="619" t="s">
        <v>146</v>
      </c>
      <c r="E54" s="501">
        <v>625302.71</v>
      </c>
      <c r="F54" s="620">
        <v>0.02</v>
      </c>
      <c r="G54" s="621">
        <v>38133</v>
      </c>
      <c r="H54" s="621" t="s">
        <v>149</v>
      </c>
      <c r="I54" s="642" t="s">
        <v>80</v>
      </c>
      <c r="J54" s="622">
        <v>185</v>
      </c>
      <c r="K54" s="623">
        <v>37533</v>
      </c>
      <c r="L54" s="624">
        <v>156</v>
      </c>
      <c r="M54" s="623">
        <v>38415</v>
      </c>
      <c r="N54" s="700">
        <v>43135</v>
      </c>
    </row>
    <row r="55" spans="1:14" s="42" customFormat="1" ht="12">
      <c r="A55" s="134" t="s">
        <v>130</v>
      </c>
      <c r="B55" s="129"/>
      <c r="C55" s="201">
        <f>SUM(C56:C60)</f>
        <v>19630234.38</v>
      </c>
      <c r="D55" s="130"/>
      <c r="E55" s="201">
        <v>12856520.67</v>
      </c>
      <c r="F55" s="129"/>
      <c r="G55" s="131"/>
      <c r="H55" s="129"/>
      <c r="I55" s="129"/>
      <c r="J55" s="129"/>
      <c r="K55" s="129"/>
      <c r="L55" s="129"/>
      <c r="M55" s="129"/>
      <c r="N55" s="208"/>
    </row>
    <row r="56" spans="1:14" ht="15" customHeight="1">
      <c r="A56" s="645" t="s">
        <v>38</v>
      </c>
      <c r="B56" s="467" t="s">
        <v>16</v>
      </c>
      <c r="C56" s="500">
        <v>4053274.8</v>
      </c>
      <c r="D56" s="605" t="s">
        <v>145</v>
      </c>
      <c r="E56" s="500">
        <v>731841.3</v>
      </c>
      <c r="F56" s="606">
        <v>0.06</v>
      </c>
      <c r="G56" s="607">
        <v>39073</v>
      </c>
      <c r="H56" s="607" t="s">
        <v>149</v>
      </c>
      <c r="I56" s="607" t="s">
        <v>74</v>
      </c>
      <c r="J56" s="608">
        <v>85</v>
      </c>
      <c r="K56" s="609">
        <v>39082</v>
      </c>
      <c r="L56" s="610">
        <v>72</v>
      </c>
      <c r="M56" s="609">
        <v>39478</v>
      </c>
      <c r="N56" s="699">
        <v>41639</v>
      </c>
    </row>
    <row r="57" spans="1:14" ht="15" customHeight="1">
      <c r="A57" s="696" t="s">
        <v>61</v>
      </c>
      <c r="B57" s="471" t="s">
        <v>10</v>
      </c>
      <c r="C57" s="612">
        <v>639244.4</v>
      </c>
      <c r="D57" s="482" t="s">
        <v>145</v>
      </c>
      <c r="E57" s="612">
        <v>138502.97</v>
      </c>
      <c r="F57" s="613">
        <v>0.06</v>
      </c>
      <c r="G57" s="614">
        <v>39727</v>
      </c>
      <c r="H57" s="614" t="s">
        <v>149</v>
      </c>
      <c r="I57" s="614" t="s">
        <v>74</v>
      </c>
      <c r="J57" s="615">
        <v>72</v>
      </c>
      <c r="K57" s="616">
        <v>39478</v>
      </c>
      <c r="L57" s="617">
        <v>60</v>
      </c>
      <c r="M57" s="616">
        <v>39844</v>
      </c>
      <c r="N57" s="644">
        <v>41639</v>
      </c>
    </row>
    <row r="58" spans="1:14" ht="15" customHeight="1">
      <c r="A58" s="697" t="s">
        <v>291</v>
      </c>
      <c r="B58" s="695" t="s">
        <v>309</v>
      </c>
      <c r="C58" s="501">
        <v>14937715.18</v>
      </c>
      <c r="D58" s="619" t="s">
        <v>145</v>
      </c>
      <c r="E58" s="612">
        <v>11986176.4</v>
      </c>
      <c r="F58" s="620">
        <v>0.06</v>
      </c>
      <c r="G58" s="621">
        <v>40908</v>
      </c>
      <c r="H58" s="621" t="s">
        <v>149</v>
      </c>
      <c r="I58" s="621" t="s">
        <v>74</v>
      </c>
      <c r="J58" s="622">
        <v>227</v>
      </c>
      <c r="K58" s="623">
        <v>40909</v>
      </c>
      <c r="L58" s="624">
        <v>227</v>
      </c>
      <c r="M58" s="623">
        <v>40909</v>
      </c>
      <c r="N58" s="644">
        <v>47848</v>
      </c>
    </row>
    <row r="59" spans="1:14" ht="15" customHeight="1" hidden="1">
      <c r="A59" s="685"/>
      <c r="B59" s="686" t="s">
        <v>8</v>
      </c>
      <c r="C59" s="659"/>
      <c r="D59" s="660"/>
      <c r="E59" s="659"/>
      <c r="F59" s="661"/>
      <c r="G59" s="662"/>
      <c r="H59" s="662"/>
      <c r="I59" s="662"/>
      <c r="J59" s="663"/>
      <c r="K59" s="664"/>
      <c r="L59" s="665"/>
      <c r="M59" s="664"/>
      <c r="N59" s="666"/>
    </row>
    <row r="60" spans="1:14" ht="15" customHeight="1" hidden="1">
      <c r="A60" s="683"/>
      <c r="B60" s="684" t="s">
        <v>11</v>
      </c>
      <c r="C60" s="501"/>
      <c r="D60" s="619"/>
      <c r="E60" s="501"/>
      <c r="F60" s="620"/>
      <c r="G60" s="621"/>
      <c r="H60" s="621"/>
      <c r="I60" s="621"/>
      <c r="J60" s="622"/>
      <c r="K60" s="623"/>
      <c r="L60" s="624"/>
      <c r="M60" s="623"/>
      <c r="N60" s="625"/>
    </row>
    <row r="61" spans="1:15" ht="15" customHeight="1">
      <c r="A61" s="134" t="s">
        <v>313</v>
      </c>
      <c r="B61" s="129"/>
      <c r="C61" s="201">
        <f>SUM(C62:C62)</f>
        <v>1180320</v>
      </c>
      <c r="D61" s="130"/>
      <c r="E61" s="201">
        <v>954092</v>
      </c>
      <c r="F61" s="129"/>
      <c r="G61" s="131"/>
      <c r="H61" s="129"/>
      <c r="I61" s="129"/>
      <c r="J61" s="129"/>
      <c r="K61" s="129"/>
      <c r="L61" s="129"/>
      <c r="M61" s="129"/>
      <c r="N61" s="208"/>
      <c r="O61" s="42"/>
    </row>
    <row r="62" spans="1:14" ht="15" customHeight="1" thickBot="1">
      <c r="A62" s="650" t="s">
        <v>184</v>
      </c>
      <c r="B62" s="698" t="s">
        <v>201</v>
      </c>
      <c r="C62" s="651">
        <v>1180320</v>
      </c>
      <c r="D62" s="652" t="s">
        <v>145</v>
      </c>
      <c r="E62" s="651">
        <v>954092</v>
      </c>
      <c r="F62" s="653" t="s">
        <v>187</v>
      </c>
      <c r="G62" s="654">
        <v>40532</v>
      </c>
      <c r="H62" s="654" t="s">
        <v>149</v>
      </c>
      <c r="I62" s="654" t="s">
        <v>74</v>
      </c>
      <c r="J62" s="655">
        <v>0</v>
      </c>
      <c r="K62" s="656" t="s">
        <v>188</v>
      </c>
      <c r="L62" s="655">
        <v>120</v>
      </c>
      <c r="M62" s="657">
        <v>40544</v>
      </c>
      <c r="N62" s="701">
        <v>44166</v>
      </c>
    </row>
    <row r="63" spans="1:14" ht="15" customHeight="1">
      <c r="A63" s="747" t="s">
        <v>314</v>
      </c>
      <c r="B63" s="748"/>
      <c r="C63" s="748"/>
      <c r="D63" s="748"/>
      <c r="E63" s="748"/>
      <c r="F63" s="748"/>
      <c r="G63" s="748"/>
      <c r="H63" s="748"/>
      <c r="I63" s="748"/>
      <c r="J63" s="748"/>
      <c r="K63" s="748"/>
      <c r="L63" s="748"/>
      <c r="M63" s="748"/>
      <c r="N63" s="749"/>
    </row>
    <row r="64" spans="1:14" s="42" customFormat="1" ht="12">
      <c r="A64" s="134" t="s">
        <v>208</v>
      </c>
      <c r="B64" s="129"/>
      <c r="C64" s="201">
        <f>SUM(C66:C73)</f>
        <v>49255000</v>
      </c>
      <c r="D64" s="130"/>
      <c r="E64" s="201">
        <v>30714552.090000004</v>
      </c>
      <c r="F64" s="129"/>
      <c r="G64" s="131"/>
      <c r="H64" s="129"/>
      <c r="I64" s="129"/>
      <c r="J64" s="129"/>
      <c r="K64" s="129"/>
      <c r="L64" s="129"/>
      <c r="M64" s="129"/>
      <c r="N64" s="208"/>
    </row>
    <row r="65" spans="1:14" ht="15" customHeight="1" hidden="1">
      <c r="A65" s="205" t="s">
        <v>191</v>
      </c>
      <c r="B65" s="5" t="s">
        <v>21</v>
      </c>
      <c r="C65" s="169"/>
      <c r="D65" s="7"/>
      <c r="E65" s="169"/>
      <c r="F65" s="3"/>
      <c r="G65" s="4"/>
      <c r="H65" s="4"/>
      <c r="I65" s="4"/>
      <c r="J65" s="6"/>
      <c r="K65" s="26"/>
      <c r="L65" s="8"/>
      <c r="M65" s="26"/>
      <c r="N65" s="206"/>
    </row>
    <row r="66" spans="1:14" ht="15" customHeight="1">
      <c r="A66" s="603" t="s">
        <v>37</v>
      </c>
      <c r="B66" s="604" t="s">
        <v>22</v>
      </c>
      <c r="C66" s="500">
        <v>7000000</v>
      </c>
      <c r="D66" s="605" t="s">
        <v>145</v>
      </c>
      <c r="E66" s="500">
        <v>1150818.37</v>
      </c>
      <c r="F66" s="606" t="s">
        <v>81</v>
      </c>
      <c r="G66" s="607">
        <v>39379</v>
      </c>
      <c r="H66" s="607" t="s">
        <v>149</v>
      </c>
      <c r="I66" s="607" t="s">
        <v>73</v>
      </c>
      <c r="J66" s="608">
        <v>66</v>
      </c>
      <c r="K66" s="609">
        <f>+G66+30</f>
        <v>39409</v>
      </c>
      <c r="L66" s="610">
        <v>60</v>
      </c>
      <c r="M66" s="609">
        <f>+K66</f>
        <v>39409</v>
      </c>
      <c r="N66" s="699">
        <f>+K66+(365*5)-30</f>
        <v>41204</v>
      </c>
    </row>
    <row r="67" spans="1:14" ht="15" customHeight="1">
      <c r="A67" s="611" t="s">
        <v>272</v>
      </c>
      <c r="B67" s="485" t="s">
        <v>16</v>
      </c>
      <c r="C67" s="612">
        <v>8000000</v>
      </c>
      <c r="D67" s="482" t="s">
        <v>145</v>
      </c>
      <c r="E67" s="612">
        <v>7703970.48</v>
      </c>
      <c r="F67" s="613" t="s">
        <v>273</v>
      </c>
      <c r="G67" s="614">
        <v>40940</v>
      </c>
      <c r="H67" s="614" t="s">
        <v>149</v>
      </c>
      <c r="I67" s="614" t="s">
        <v>73</v>
      </c>
      <c r="J67" s="615">
        <v>60</v>
      </c>
      <c r="K67" s="616">
        <v>40969</v>
      </c>
      <c r="L67" s="617">
        <v>54</v>
      </c>
      <c r="M67" s="616" t="s">
        <v>274</v>
      </c>
      <c r="N67" s="644">
        <v>42767</v>
      </c>
    </row>
    <row r="68" spans="1:14" ht="15" customHeight="1">
      <c r="A68" s="611" t="s">
        <v>176</v>
      </c>
      <c r="B68" s="485" t="s">
        <v>3</v>
      </c>
      <c r="C68" s="612">
        <v>8000000</v>
      </c>
      <c r="D68" s="482" t="s">
        <v>145</v>
      </c>
      <c r="E68" s="612">
        <v>3282148.46</v>
      </c>
      <c r="F68" s="613" t="s">
        <v>175</v>
      </c>
      <c r="G68" s="614">
        <v>40479</v>
      </c>
      <c r="H68" s="614" t="s">
        <v>149</v>
      </c>
      <c r="I68" s="614" t="s">
        <v>73</v>
      </c>
      <c r="J68" s="615">
        <v>36</v>
      </c>
      <c r="K68" s="616">
        <v>40511</v>
      </c>
      <c r="L68" s="617">
        <v>30</v>
      </c>
      <c r="M68" s="616">
        <v>40664</v>
      </c>
      <c r="N68" s="644">
        <v>41568</v>
      </c>
    </row>
    <row r="69" spans="1:14" ht="15" customHeight="1">
      <c r="A69" s="611" t="s">
        <v>192</v>
      </c>
      <c r="B69" s="485" t="s">
        <v>23</v>
      </c>
      <c r="C69" s="612">
        <v>2000000</v>
      </c>
      <c r="D69" s="482" t="s">
        <v>145</v>
      </c>
      <c r="E69" s="612">
        <v>1006724.01</v>
      </c>
      <c r="F69" s="613">
        <v>0.12</v>
      </c>
      <c r="G69" s="643">
        <v>40581</v>
      </c>
      <c r="H69" s="614" t="s">
        <v>149</v>
      </c>
      <c r="I69" s="614" t="s">
        <v>73</v>
      </c>
      <c r="J69" s="615">
        <v>30</v>
      </c>
      <c r="K69" s="616">
        <v>40765</v>
      </c>
      <c r="L69" s="617">
        <v>30</v>
      </c>
      <c r="M69" s="616">
        <v>40765</v>
      </c>
      <c r="N69" s="644">
        <v>41649</v>
      </c>
    </row>
    <row r="70" spans="1:14" ht="15" customHeight="1">
      <c r="A70" s="611" t="s">
        <v>193</v>
      </c>
      <c r="B70" s="485" t="s">
        <v>12</v>
      </c>
      <c r="C70" s="612">
        <v>11500000</v>
      </c>
      <c r="D70" s="482" t="s">
        <v>145</v>
      </c>
      <c r="E70" s="612">
        <v>10575412.21</v>
      </c>
      <c r="F70" s="613" t="s">
        <v>175</v>
      </c>
      <c r="G70" s="614">
        <v>40857</v>
      </c>
      <c r="H70" s="614" t="s">
        <v>149</v>
      </c>
      <c r="I70" s="614" t="s">
        <v>73</v>
      </c>
      <c r="J70" s="615">
        <v>60</v>
      </c>
      <c r="K70" s="616">
        <v>40887</v>
      </c>
      <c r="L70" s="617">
        <v>54</v>
      </c>
      <c r="M70" s="616">
        <v>41070</v>
      </c>
      <c r="N70" s="644">
        <v>42684</v>
      </c>
    </row>
    <row r="71" spans="1:14" ht="15" customHeight="1">
      <c r="A71" s="611" t="s">
        <v>60</v>
      </c>
      <c r="B71" s="485" t="s">
        <v>4</v>
      </c>
      <c r="C71" s="612">
        <v>3200000</v>
      </c>
      <c r="D71" s="482" t="s">
        <v>145</v>
      </c>
      <c r="E71" s="612">
        <v>0</v>
      </c>
      <c r="F71" s="613" t="s">
        <v>82</v>
      </c>
      <c r="G71" s="614">
        <v>39161</v>
      </c>
      <c r="H71" s="614" t="s">
        <v>149</v>
      </c>
      <c r="I71" s="614" t="s">
        <v>73</v>
      </c>
      <c r="J71" s="615">
        <v>48</v>
      </c>
      <c r="K71" s="616">
        <v>39191</v>
      </c>
      <c r="L71" s="617">
        <v>48</v>
      </c>
      <c r="M71" s="616">
        <v>39191</v>
      </c>
      <c r="N71" s="644">
        <v>40623</v>
      </c>
    </row>
    <row r="72" spans="1:14" ht="15" customHeight="1">
      <c r="A72" s="611" t="s">
        <v>194</v>
      </c>
      <c r="B72" s="485" t="s">
        <v>4</v>
      </c>
      <c r="C72" s="612">
        <v>4500000</v>
      </c>
      <c r="D72" s="482" t="s">
        <v>145</v>
      </c>
      <c r="E72" s="612">
        <v>2881139.85</v>
      </c>
      <c r="F72" s="613" t="s">
        <v>175</v>
      </c>
      <c r="G72" s="643">
        <v>40702</v>
      </c>
      <c r="H72" s="614" t="s">
        <v>149</v>
      </c>
      <c r="I72" s="614" t="s">
        <v>73</v>
      </c>
      <c r="J72" s="615">
        <v>36</v>
      </c>
      <c r="K72" s="616" t="s">
        <v>213</v>
      </c>
      <c r="L72" s="617">
        <v>36</v>
      </c>
      <c r="M72" s="616" t="s">
        <v>213</v>
      </c>
      <c r="N72" s="644">
        <v>41852</v>
      </c>
    </row>
    <row r="73" spans="1:14" ht="15" customHeight="1">
      <c r="A73" s="618" t="s">
        <v>195</v>
      </c>
      <c r="B73" s="486" t="s">
        <v>10</v>
      </c>
      <c r="C73" s="501">
        <v>5055000</v>
      </c>
      <c r="D73" s="619" t="s">
        <v>145</v>
      </c>
      <c r="E73" s="501">
        <v>4114338.71</v>
      </c>
      <c r="F73" s="620" t="s">
        <v>175</v>
      </c>
      <c r="G73" s="621">
        <v>40868</v>
      </c>
      <c r="H73" s="621" t="s">
        <v>149</v>
      </c>
      <c r="I73" s="621" t="s">
        <v>73</v>
      </c>
      <c r="J73" s="622">
        <v>50</v>
      </c>
      <c r="K73" s="623">
        <v>40906</v>
      </c>
      <c r="L73" s="624">
        <v>50</v>
      </c>
      <c r="M73" s="623">
        <v>40906</v>
      </c>
      <c r="N73" s="700">
        <v>42398</v>
      </c>
    </row>
    <row r="74" spans="1:14" s="42" customFormat="1" ht="12">
      <c r="A74" s="134" t="s">
        <v>179</v>
      </c>
      <c r="B74" s="129"/>
      <c r="C74" s="201">
        <f>SUM(C75:C78)</f>
        <v>25908879.08</v>
      </c>
      <c r="D74" s="130"/>
      <c r="E74" s="201">
        <v>22398296.980000004</v>
      </c>
      <c r="F74" s="129"/>
      <c r="G74" s="131"/>
      <c r="H74" s="129"/>
      <c r="I74" s="129"/>
      <c r="J74" s="129"/>
      <c r="K74" s="129"/>
      <c r="L74" s="129"/>
      <c r="M74" s="129"/>
      <c r="N74" s="208"/>
    </row>
    <row r="75" spans="1:14" ht="15" customHeight="1">
      <c r="A75" s="645" t="s">
        <v>190</v>
      </c>
      <c r="B75" s="467" t="s">
        <v>203</v>
      </c>
      <c r="C75" s="500">
        <v>16000000</v>
      </c>
      <c r="D75" s="605" t="s">
        <v>145</v>
      </c>
      <c r="E75" s="500">
        <v>14738649.120000001</v>
      </c>
      <c r="F75" s="646">
        <v>0.103625</v>
      </c>
      <c r="G75" s="647">
        <v>40571</v>
      </c>
      <c r="H75" s="647" t="s">
        <v>197</v>
      </c>
      <c r="I75" s="647" t="s">
        <v>73</v>
      </c>
      <c r="J75" s="610">
        <v>12</v>
      </c>
      <c r="K75" s="648">
        <v>40752</v>
      </c>
      <c r="L75" s="610">
        <v>10</v>
      </c>
      <c r="M75" s="649">
        <v>41118</v>
      </c>
      <c r="N75" s="699">
        <v>42736</v>
      </c>
    </row>
    <row r="76" spans="1:14" ht="15" customHeight="1">
      <c r="A76" s="611" t="s">
        <v>178</v>
      </c>
      <c r="B76" s="485" t="s">
        <v>205</v>
      </c>
      <c r="C76" s="612">
        <v>2200000</v>
      </c>
      <c r="D76" s="482" t="s">
        <v>30</v>
      </c>
      <c r="E76" s="612">
        <v>1554476.96</v>
      </c>
      <c r="F76" s="613">
        <v>0.1436</v>
      </c>
      <c r="G76" s="614">
        <v>40442</v>
      </c>
      <c r="H76" s="614" t="s">
        <v>149</v>
      </c>
      <c r="I76" s="614" t="s">
        <v>73</v>
      </c>
      <c r="J76" s="615">
        <v>60</v>
      </c>
      <c r="K76" s="616">
        <v>40473</v>
      </c>
      <c r="L76" s="617">
        <v>54</v>
      </c>
      <c r="M76" s="616">
        <v>40655</v>
      </c>
      <c r="N76" s="644">
        <v>42269</v>
      </c>
    </row>
    <row r="77" spans="1:14" ht="15" customHeight="1">
      <c r="A77" s="611" t="s">
        <v>51</v>
      </c>
      <c r="B77" s="485" t="s">
        <v>202</v>
      </c>
      <c r="C77" s="612">
        <v>5208879.08</v>
      </c>
      <c r="D77" s="482" t="s">
        <v>145</v>
      </c>
      <c r="E77" s="612">
        <v>3774453.9</v>
      </c>
      <c r="F77" s="613">
        <v>0.09</v>
      </c>
      <c r="G77" s="614">
        <v>38261</v>
      </c>
      <c r="H77" s="614" t="s">
        <v>149</v>
      </c>
      <c r="I77" s="614" t="s">
        <v>73</v>
      </c>
      <c r="J77" s="615">
        <v>120</v>
      </c>
      <c r="K77" s="616">
        <v>39893</v>
      </c>
      <c r="L77" s="617">
        <v>120</v>
      </c>
      <c r="M77" s="616">
        <f>+K77</f>
        <v>39893</v>
      </c>
      <c r="N77" s="644">
        <v>43517</v>
      </c>
    </row>
    <row r="78" spans="1:14" ht="15" customHeight="1" thickBot="1">
      <c r="A78" s="702" t="s">
        <v>211</v>
      </c>
      <c r="B78" s="703" t="s">
        <v>212</v>
      </c>
      <c r="C78" s="651">
        <v>2500000</v>
      </c>
      <c r="D78" s="652" t="s">
        <v>145</v>
      </c>
      <c r="E78" s="651">
        <v>2330717</v>
      </c>
      <c r="F78" s="704" t="s">
        <v>216</v>
      </c>
      <c r="G78" s="654">
        <v>40623</v>
      </c>
      <c r="H78" s="705" t="s">
        <v>197</v>
      </c>
      <c r="I78" s="705" t="s">
        <v>73</v>
      </c>
      <c r="J78" s="706">
        <v>12</v>
      </c>
      <c r="K78" s="657">
        <v>40816</v>
      </c>
      <c r="L78" s="655">
        <v>10</v>
      </c>
      <c r="M78" s="657">
        <v>41182</v>
      </c>
      <c r="N78" s="707">
        <v>42824</v>
      </c>
    </row>
    <row r="79" spans="1:14" s="42" customFormat="1" ht="12.75" thickBot="1">
      <c r="A79" s="207"/>
      <c r="B79" s="103"/>
      <c r="C79" s="202">
        <f>C31+C33+C51+C55+C61+C64+C74</f>
        <v>194425570.86</v>
      </c>
      <c r="D79" s="104"/>
      <c r="E79" s="202">
        <v>108635971.05000001</v>
      </c>
      <c r="F79" s="103"/>
      <c r="G79" s="78"/>
      <c r="H79" s="103"/>
      <c r="I79" s="103"/>
      <c r="J79" s="103"/>
      <c r="K79" s="103"/>
      <c r="L79" s="103"/>
      <c r="M79" s="103"/>
      <c r="N79" s="105"/>
    </row>
    <row r="80" spans="1:7" ht="12">
      <c r="A80" s="1" t="s">
        <v>310</v>
      </c>
      <c r="C80" s="10"/>
      <c r="G80" s="9"/>
    </row>
    <row r="81" spans="1:3" ht="12">
      <c r="A81" s="187"/>
      <c r="C81" s="2"/>
    </row>
    <row r="82" spans="3:5" ht="15" customHeight="1" hidden="1">
      <c r="C82" s="10"/>
      <c r="E82" s="709">
        <f>+E28-'STOCK X ORIGEN'!G27</f>
        <v>0</v>
      </c>
    </row>
    <row r="83" spans="3:5" ht="15" customHeight="1" hidden="1">
      <c r="C83" s="2"/>
      <c r="E83" s="709">
        <f>+E79-'STOCK X ORIGEN'!G76</f>
        <v>0</v>
      </c>
    </row>
    <row r="84" ht="15" customHeight="1"/>
    <row r="85" ht="15" customHeight="1"/>
    <row r="87" ht="15" customHeight="1"/>
    <row r="88" ht="15" customHeight="1"/>
    <row r="89" ht="15" customHeight="1"/>
    <row r="92" ht="12">
      <c r="C92" s="2"/>
    </row>
    <row r="93" ht="12">
      <c r="C93" s="2"/>
    </row>
    <row r="94" ht="12">
      <c r="C94" s="2"/>
    </row>
    <row r="95" ht="12">
      <c r="C95" s="2"/>
    </row>
    <row r="96" ht="12">
      <c r="C96" s="2"/>
    </row>
    <row r="97" ht="12">
      <c r="C97" s="2"/>
    </row>
    <row r="98" ht="12">
      <c r="C98" s="2"/>
    </row>
    <row r="99" ht="12">
      <c r="C99" s="2"/>
    </row>
    <row r="100" ht="12">
      <c r="C100" s="2"/>
    </row>
    <row r="101" ht="12">
      <c r="C101" s="2"/>
    </row>
    <row r="102" ht="12">
      <c r="C102" s="2"/>
    </row>
    <row r="103" ht="12">
      <c r="C103" s="2"/>
    </row>
  </sheetData>
  <sheetProtection/>
  <mergeCells count="13">
    <mergeCell ref="I6:I7"/>
    <mergeCell ref="D6:D7"/>
    <mergeCell ref="C6:C7"/>
    <mergeCell ref="G6:G7"/>
    <mergeCell ref="F6:F7"/>
    <mergeCell ref="E6:E7"/>
    <mergeCell ref="A63:N63"/>
    <mergeCell ref="A30:N30"/>
    <mergeCell ref="J6:K6"/>
    <mergeCell ref="L6:N6"/>
    <mergeCell ref="H6:H7"/>
    <mergeCell ref="A6:A7"/>
    <mergeCell ref="B6:B7"/>
  </mergeCells>
  <printOptions horizontalCentered="1"/>
  <pageMargins left="0" right="0" top="0" bottom="0" header="0" footer="0.3937007874015748"/>
  <pageSetup firstPageNumber="1" useFirstPageNumber="1" horizontalDpi="600" verticalDpi="600" orientation="portrait" paperSize="9" scale="75" r:id="rId2"/>
  <headerFooter alignWithMargins="0">
    <oddFooter>&amp;CPágina Nº &amp;P</oddFooter>
  </headerFooter>
  <ignoredErrors>
    <ignoredError sqref="I54 I52:I53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N32"/>
  <sheetViews>
    <sheetView showGridLines="0" zoomScalePageLayoutView="0" workbookViewId="0" topLeftCell="A1">
      <selection activeCell="G5" sqref="G5"/>
    </sheetView>
  </sheetViews>
  <sheetFormatPr defaultColWidth="11.421875" defaultRowHeight="12.75"/>
  <cols>
    <col min="1" max="3" width="5.7109375" style="0" customWidth="1"/>
    <col min="4" max="4" width="24.140625" style="0" bestFit="1" customWidth="1"/>
    <col min="5" max="5" width="12.7109375" style="0" bestFit="1" customWidth="1"/>
    <col min="6" max="6" width="12.00390625" style="0" customWidth="1"/>
    <col min="7" max="7" width="5.7109375" style="0" customWidth="1"/>
    <col min="8" max="8" width="13.140625" style="0" customWidth="1"/>
    <col min="9" max="9" width="13.8515625" style="0" customWidth="1"/>
    <col min="10" max="10" width="5.7109375" style="0" customWidth="1"/>
    <col min="11" max="11" width="8.57421875" style="0" customWidth="1"/>
    <col min="12" max="12" width="5.57421875" style="0" customWidth="1"/>
    <col min="13" max="13" width="6.140625" style="0" customWidth="1"/>
    <col min="14" max="14" width="5.00390625" style="0" customWidth="1"/>
  </cols>
  <sheetData>
    <row r="1" spans="1:13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6" t="s">
        <v>88</v>
      </c>
    </row>
    <row r="2" spans="1:7" ht="18" customHeight="1">
      <c r="A2" s="25"/>
      <c r="F2" s="1"/>
      <c r="G2" s="24" t="s">
        <v>181</v>
      </c>
    </row>
    <row r="3" spans="1:7" ht="18" customHeight="1">
      <c r="A3" s="25"/>
      <c r="F3" s="1"/>
      <c r="G3" s="24" t="s">
        <v>87</v>
      </c>
    </row>
    <row r="4" spans="1:13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46" t="s">
        <v>85</v>
      </c>
    </row>
    <row r="5" spans="1:7" ht="12.75">
      <c r="A5" s="16"/>
      <c r="F5" s="17"/>
      <c r="G5" s="234" t="s">
        <v>325</v>
      </c>
    </row>
    <row r="6" ht="12.75">
      <c r="A6" s="155"/>
    </row>
    <row r="7" spans="6:9" ht="13.5" thickBot="1">
      <c r="F7" s="156"/>
      <c r="H7" s="156" t="s">
        <v>170</v>
      </c>
      <c r="I7" s="283" t="e">
        <f>#REF!</f>
        <v>#REF!</v>
      </c>
    </row>
    <row r="8" spans="4:11" ht="13.5" thickBot="1">
      <c r="D8" s="810" t="s">
        <v>152</v>
      </c>
      <c r="E8" s="812" t="s">
        <v>153</v>
      </c>
      <c r="F8" s="813"/>
      <c r="H8" s="812" t="s">
        <v>154</v>
      </c>
      <c r="I8" s="813"/>
      <c r="K8" s="288" t="s">
        <v>185</v>
      </c>
    </row>
    <row r="9" spans="4:11" ht="13.5" thickBot="1">
      <c r="D9" s="811"/>
      <c r="E9" s="196" t="s">
        <v>155</v>
      </c>
      <c r="F9" s="195" t="s">
        <v>156</v>
      </c>
      <c r="H9" s="157" t="s">
        <v>157</v>
      </c>
      <c r="I9" s="188" t="s">
        <v>158</v>
      </c>
      <c r="K9" s="289" t="s">
        <v>186</v>
      </c>
    </row>
    <row r="10" spans="4:11" ht="12.75">
      <c r="D10" s="191" t="str">
        <f>'STOCK DESAG. X MUN'!B9</f>
        <v>Capital</v>
      </c>
      <c r="E10" s="211">
        <v>21206906.28</v>
      </c>
      <c r="F10" s="211">
        <v>1569638.6924691761</v>
      </c>
      <c r="H10" s="238">
        <v>28800818.270000003</v>
      </c>
      <c r="I10" s="240">
        <v>5953042.222853633</v>
      </c>
      <c r="K10" s="306">
        <f aca="true" t="shared" si="0" ref="K10:K27">I10/$I$28</f>
        <v>0.16088321587668203</v>
      </c>
    </row>
    <row r="11" spans="4:11" ht="12.75">
      <c r="D11" s="284" t="str">
        <f>'STOCK DESAG. X MUN'!B14</f>
        <v>General Alvear</v>
      </c>
      <c r="E11" s="285">
        <v>1720240.06</v>
      </c>
      <c r="F11" s="285">
        <v>949988.27</v>
      </c>
      <c r="H11" s="286">
        <v>6316283.3100000005</v>
      </c>
      <c r="I11" s="287">
        <v>1305556.6991029356</v>
      </c>
      <c r="K11" s="307">
        <f t="shared" si="0"/>
        <v>0.03528316319589966</v>
      </c>
    </row>
    <row r="12" spans="4:11" ht="12.75">
      <c r="D12" s="192" t="str">
        <f>'STOCK DESAG. X MUN'!B18</f>
        <v>Godoy Cruz</v>
      </c>
      <c r="E12" s="214">
        <v>13797502.99</v>
      </c>
      <c r="F12" s="214">
        <v>1494551.8626432105</v>
      </c>
      <c r="H12" s="239">
        <v>21028144.9</v>
      </c>
      <c r="I12" s="241">
        <v>4346454.092903649</v>
      </c>
      <c r="K12" s="307">
        <f t="shared" si="0"/>
        <v>0.11746456449480804</v>
      </c>
    </row>
    <row r="13" spans="4:11" ht="12.75">
      <c r="D13" s="192" t="str">
        <f>'STOCK DESAG. X MUN'!B24</f>
        <v>Guaymallén</v>
      </c>
      <c r="E13" s="214">
        <v>11728709.72</v>
      </c>
      <c r="F13" s="214">
        <v>3202678.870660736</v>
      </c>
      <c r="H13" s="239">
        <v>27223270.100000005</v>
      </c>
      <c r="I13" s="241">
        <v>5626967.77516673</v>
      </c>
      <c r="K13" s="307">
        <f t="shared" si="0"/>
        <v>0.15207093069622604</v>
      </c>
    </row>
    <row r="14" spans="4:11" ht="12.75">
      <c r="D14" s="192" t="str">
        <f>'STOCK DESAG. X MUN'!B29</f>
        <v>Junín</v>
      </c>
      <c r="E14" s="214">
        <v>423112.72</v>
      </c>
      <c r="F14" s="214">
        <v>312957.8855998658</v>
      </c>
      <c r="H14" s="239">
        <v>1937202.97</v>
      </c>
      <c r="I14" s="241">
        <v>400414.0079644793</v>
      </c>
      <c r="K14" s="307">
        <f t="shared" si="0"/>
        <v>0.010821339891743059</v>
      </c>
    </row>
    <row r="15" spans="4:11" ht="12.75">
      <c r="D15" s="192" t="str">
        <f>'STOCK DESAG. X MUN'!B32</f>
        <v>La Paz</v>
      </c>
      <c r="E15" s="214">
        <v>481423.68</v>
      </c>
      <c r="F15" s="214">
        <v>203146.02</v>
      </c>
      <c r="H15" s="239">
        <v>1464244.12</v>
      </c>
      <c r="I15" s="241">
        <v>302654.84182720166</v>
      </c>
      <c r="K15" s="307">
        <f t="shared" si="0"/>
        <v>0.008179361481240736</v>
      </c>
    </row>
    <row r="16" spans="4:11" ht="12.75">
      <c r="D16" s="192" t="str">
        <f>'STOCK DESAG. X MUN'!B35</f>
        <v>Las Heras</v>
      </c>
      <c r="E16" s="214">
        <v>2511005.16</v>
      </c>
      <c r="F16" s="214">
        <v>753584.0379999984</v>
      </c>
      <c r="H16" s="239">
        <v>6156844.74</v>
      </c>
      <c r="I16" s="241">
        <v>1272601.22692104</v>
      </c>
      <c r="K16" s="307">
        <f t="shared" si="0"/>
        <v>0.03439252910548389</v>
      </c>
    </row>
    <row r="17" spans="4:11" ht="12.75">
      <c r="D17" s="192" t="str">
        <f>'STOCK DESAG. X MUN'!B38</f>
        <v>Lavalle</v>
      </c>
      <c r="E17" s="214">
        <v>828797.81</v>
      </c>
      <c r="F17" s="214">
        <v>0</v>
      </c>
      <c r="H17" s="239">
        <v>828797.81</v>
      </c>
      <c r="I17" s="241">
        <v>171310.00620090947</v>
      </c>
      <c r="K17" s="307">
        <f t="shared" si="0"/>
        <v>0.004629717659930378</v>
      </c>
    </row>
    <row r="18" spans="4:11" ht="12.75">
      <c r="D18" s="194" t="str">
        <f>'STOCK DESAG. X MUN'!B40</f>
        <v>Luján</v>
      </c>
      <c r="E18" s="214">
        <v>14103155.66</v>
      </c>
      <c r="F18" s="214">
        <v>0</v>
      </c>
      <c r="H18" s="239">
        <v>14103155.66</v>
      </c>
      <c r="I18" s="241">
        <v>2915079.7147581642</v>
      </c>
      <c r="K18" s="307">
        <f t="shared" si="0"/>
        <v>0.07878113097312486</v>
      </c>
    </row>
    <row r="19" spans="4:11" ht="12.75">
      <c r="D19" s="194" t="str">
        <f>'STOCK DESAG. X MUN'!B44</f>
        <v>Maipú</v>
      </c>
      <c r="E19" s="214">
        <v>9801819.91</v>
      </c>
      <c r="F19" s="214">
        <v>703006.430763246</v>
      </c>
      <c r="H19" s="239">
        <v>13202965.02</v>
      </c>
      <c r="I19" s="241">
        <v>2729013.0264639487</v>
      </c>
      <c r="K19" s="307">
        <f t="shared" si="0"/>
        <v>0.07375260840270237</v>
      </c>
    </row>
    <row r="20" spans="4:11" ht="12.75">
      <c r="D20" s="194" t="str">
        <f>'STOCK DESAG. X MUN'!B49</f>
        <v>Malargue</v>
      </c>
      <c r="E20" s="214">
        <v>2016727.11</v>
      </c>
      <c r="F20" s="214">
        <v>0</v>
      </c>
      <c r="H20" s="239">
        <v>2016727.11</v>
      </c>
      <c r="I20" s="241">
        <v>416851.407606449</v>
      </c>
      <c r="K20" s="307">
        <f t="shared" si="0"/>
        <v>0.011265566829173153</v>
      </c>
    </row>
    <row r="21" spans="4:11" ht="12.75">
      <c r="D21" s="194" t="str">
        <f>'STOCK DESAG. X MUN'!B51</f>
        <v>Rivadavia</v>
      </c>
      <c r="E21" s="214">
        <v>1043118.54</v>
      </c>
      <c r="F21" s="214">
        <v>0</v>
      </c>
      <c r="H21" s="239">
        <v>1043118.54</v>
      </c>
      <c r="I21" s="241">
        <v>215609.45431996693</v>
      </c>
      <c r="K21" s="307">
        <f t="shared" si="0"/>
        <v>0.005826926987221156</v>
      </c>
    </row>
    <row r="22" spans="4:11" ht="12.75">
      <c r="D22" s="194" t="s">
        <v>23</v>
      </c>
      <c r="E22" s="214">
        <v>1006724.01</v>
      </c>
      <c r="F22" s="214">
        <v>0</v>
      </c>
      <c r="H22" s="239">
        <v>1006724.01</v>
      </c>
      <c r="I22" s="241">
        <v>208086.81479950392</v>
      </c>
      <c r="K22" s="307">
        <f>I22/$I$28</f>
        <v>0.005623624811186369</v>
      </c>
    </row>
    <row r="23" spans="4:11" ht="12.75">
      <c r="D23" s="194" t="str">
        <f>'STOCK DESAG. X MUN'!B56</f>
        <v>San Martín</v>
      </c>
      <c r="E23" s="214">
        <v>14854750.670000002</v>
      </c>
      <c r="F23" s="214">
        <v>1124298.9033385797</v>
      </c>
      <c r="H23" s="239">
        <v>20294108.76</v>
      </c>
      <c r="I23" s="241">
        <v>4194731.038518406</v>
      </c>
      <c r="K23" s="307">
        <f t="shared" si="0"/>
        <v>0.11336419161009673</v>
      </c>
    </row>
    <row r="24" spans="4:11" ht="12.75">
      <c r="D24" s="194" t="str">
        <f>'STOCK DESAG. X MUN'!B61</f>
        <v>San Rafael</v>
      </c>
      <c r="E24" s="214">
        <v>4155416.47</v>
      </c>
      <c r="F24" s="214">
        <v>843000.0078125033</v>
      </c>
      <c r="H24" s="239">
        <v>8233850.51</v>
      </c>
      <c r="I24" s="241">
        <v>1701912.0520456575</v>
      </c>
      <c r="K24" s="307">
        <f t="shared" si="0"/>
        <v>0.045994816401812126</v>
      </c>
    </row>
    <row r="25" spans="4:11" ht="12.75">
      <c r="D25" s="194" t="str">
        <f>'STOCK DESAG. X MUN'!B65</f>
        <v>Santa Rosa</v>
      </c>
      <c r="E25" s="214">
        <v>5374756.6</v>
      </c>
      <c r="F25" s="214">
        <v>256800.24000000124</v>
      </c>
      <c r="H25" s="239">
        <v>6617156.159999999</v>
      </c>
      <c r="I25" s="241">
        <v>1367746.2094088478</v>
      </c>
      <c r="K25" s="307">
        <f t="shared" si="0"/>
        <v>0.03696385821489368</v>
      </c>
    </row>
    <row r="26" spans="4:11" ht="12.75">
      <c r="D26" s="194" t="str">
        <f>'STOCK DESAG. X MUN'!B70</f>
        <v>Tunuyán</v>
      </c>
      <c r="E26" s="214">
        <v>2160747.96</v>
      </c>
      <c r="F26" s="214">
        <v>3133879.16</v>
      </c>
      <c r="H26" s="239">
        <v>17322455.34</v>
      </c>
      <c r="I26" s="241">
        <v>3580499.2426787918</v>
      </c>
      <c r="K26" s="307">
        <f t="shared" si="0"/>
        <v>0.0967643451939198</v>
      </c>
    </row>
    <row r="27" spans="4:11" ht="13.5" thickBot="1">
      <c r="D27" s="158" t="str">
        <f>'STOCK DESAG. X MUN'!B74</f>
        <v>Tupungato</v>
      </c>
      <c r="E27" s="214">
        <v>1421055.7</v>
      </c>
      <c r="F27" s="214">
        <v>0</v>
      </c>
      <c r="H27" s="239">
        <v>1421055.7</v>
      </c>
      <c r="I27" s="241">
        <v>293727.92476229847</v>
      </c>
      <c r="K27" s="308">
        <f t="shared" si="0"/>
        <v>0.007938108173855726</v>
      </c>
    </row>
    <row r="28" spans="4:11" ht="13.5" thickBot="1">
      <c r="D28" s="243" t="s">
        <v>151</v>
      </c>
      <c r="E28" s="244">
        <v>108635971.05</v>
      </c>
      <c r="F28" s="245">
        <v>14547530.381287318</v>
      </c>
      <c r="G28" s="1"/>
      <c r="H28" s="244">
        <v>179016923.03</v>
      </c>
      <c r="I28" s="245">
        <v>37002257.75830262</v>
      </c>
      <c r="K28" s="309">
        <f>SUM(K10:K27)</f>
        <v>0.9999999999999999</v>
      </c>
    </row>
    <row r="30" spans="4:14" ht="12.75" hidden="1">
      <c r="D30" s="11"/>
      <c r="E30" s="235">
        <f>+E28-'STOCK X ORIGEN'!G76</f>
        <v>0</v>
      </c>
      <c r="F30" s="235">
        <f>+F28-'STOCK X ORIGEN'!G27</f>
        <v>0</v>
      </c>
      <c r="H30" s="235">
        <f>+H28-'STOCK X ORIGEN'!I78</f>
        <v>-0.004668056964874268</v>
      </c>
      <c r="I30" s="235">
        <f>+I28-'STOCK X ORIGEN'!H78</f>
        <v>0</v>
      </c>
      <c r="K30" s="166"/>
      <c r="L30" s="166"/>
      <c r="M30" s="166"/>
      <c r="N30" s="166"/>
    </row>
    <row r="31" spans="5:8" ht="12.75">
      <c r="E31" s="167"/>
      <c r="F31" s="13"/>
      <c r="G31" s="290"/>
      <c r="H31" s="55"/>
    </row>
    <row r="32" spans="5:8" ht="12.75">
      <c r="E32" s="13"/>
      <c r="H32" s="13"/>
    </row>
  </sheetData>
  <sheetProtection/>
  <mergeCells count="3">
    <mergeCell ref="D8:D9"/>
    <mergeCell ref="E8:F8"/>
    <mergeCell ref="H8:I8"/>
  </mergeCells>
  <printOptions/>
  <pageMargins left="0" right="0" top="0" bottom="0" header="0" footer="0.3937007874015748"/>
  <pageSetup firstPageNumber="14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N30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5.7109375" style="0" customWidth="1"/>
    <col min="2" max="2" width="5.28125" style="0" customWidth="1"/>
    <col min="3" max="3" width="14.28125" style="0" customWidth="1"/>
    <col min="4" max="4" width="31.8515625" style="0" bestFit="1" customWidth="1"/>
    <col min="5" max="5" width="10.8515625" style="0" customWidth="1"/>
    <col min="6" max="6" width="11.8515625" style="11" customWidth="1"/>
    <col min="7" max="7" width="12.00390625" style="0" customWidth="1"/>
    <col min="8" max="8" width="8.421875" style="0" customWidth="1"/>
    <col min="9" max="9" width="6.7109375" style="0" customWidth="1"/>
    <col min="10" max="10" width="5.57421875" style="0" customWidth="1"/>
    <col min="11" max="11" width="6.140625" style="0" customWidth="1"/>
    <col min="12" max="12" width="5.00390625" style="0" customWidth="1"/>
    <col min="13" max="13" width="36.421875" style="0" bestFit="1" customWidth="1"/>
    <col min="14" max="14" width="11.7109375" style="0" bestFit="1" customWidth="1"/>
  </cols>
  <sheetData>
    <row r="1" spans="1:12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46" t="s">
        <v>88</v>
      </c>
    </row>
    <row r="2" spans="1:6" ht="18" customHeight="1">
      <c r="A2" s="25"/>
      <c r="E2" s="24" t="s">
        <v>182</v>
      </c>
      <c r="F2"/>
    </row>
    <row r="3" spans="1:6" ht="18" customHeight="1">
      <c r="A3" s="25"/>
      <c r="E3" s="24" t="s">
        <v>183</v>
      </c>
      <c r="F3"/>
    </row>
    <row r="4" spans="1:12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6" t="s">
        <v>85</v>
      </c>
    </row>
    <row r="5" spans="1:6" ht="12.75">
      <c r="A5" s="16"/>
      <c r="E5" s="234" t="s">
        <v>325</v>
      </c>
      <c r="F5"/>
    </row>
    <row r="6" ht="12.75">
      <c r="A6" s="155"/>
    </row>
    <row r="8" ht="12.75" customHeight="1" thickBot="1">
      <c r="N8" s="13"/>
    </row>
    <row r="9" spans="4:7" ht="12.75" customHeight="1">
      <c r="D9" s="270" t="s">
        <v>0</v>
      </c>
      <c r="E9" s="815" t="s">
        <v>159</v>
      </c>
      <c r="F9" s="815" t="s">
        <v>151</v>
      </c>
      <c r="G9" s="815" t="s">
        <v>160</v>
      </c>
    </row>
    <row r="10" spans="4:12" ht="13.5" thickBot="1">
      <c r="D10" s="271"/>
      <c r="E10" s="816"/>
      <c r="F10" s="816"/>
      <c r="G10" s="816"/>
      <c r="H10" s="236" t="str">
        <f>D12</f>
        <v>Tomada en pesos</v>
      </c>
      <c r="I10" s="236"/>
      <c r="J10" s="236"/>
      <c r="K10" s="814">
        <f>E12+E22+E26</f>
        <v>90012127.97000001</v>
      </c>
      <c r="L10" s="814"/>
    </row>
    <row r="11" spans="4:12" ht="12.75" customHeight="1">
      <c r="D11" s="159" t="s">
        <v>161</v>
      </c>
      <c r="E11" s="272"/>
      <c r="F11" s="247">
        <f>E12+E18</f>
        <v>125904073.96466805</v>
      </c>
      <c r="G11" s="273">
        <f>F11/F27</f>
        <v>0.7033082226549371</v>
      </c>
      <c r="H11" s="237" t="str">
        <f>D18</f>
        <v>Tomada en dólares</v>
      </c>
      <c r="I11" s="236"/>
      <c r="J11" s="236"/>
      <c r="K11" s="814">
        <f>E18</f>
        <v>70380951.98466805</v>
      </c>
      <c r="L11" s="814"/>
    </row>
    <row r="12" spans="4:7" ht="12.75">
      <c r="D12" s="160" t="s">
        <v>162</v>
      </c>
      <c r="E12" s="248">
        <f>SUM(E13:E17)</f>
        <v>55523121.980000004</v>
      </c>
      <c r="F12" s="248"/>
      <c r="G12" s="274">
        <f>E12/F11</f>
        <v>0.440995435902902</v>
      </c>
    </row>
    <row r="13" spans="4:14" ht="12.75">
      <c r="D13" s="161" t="s">
        <v>27</v>
      </c>
      <c r="E13" s="249">
        <f>'STOCK X ORIGEN'!I50</f>
        <v>10687588.030000001</v>
      </c>
      <c r="F13" s="249"/>
      <c r="G13" s="255"/>
      <c r="N13" s="13"/>
    </row>
    <row r="14" spans="4:7" ht="12.75">
      <c r="D14" s="162" t="s">
        <v>28</v>
      </c>
      <c r="E14" s="250">
        <f>'STOCK X ORIGEN'!I30</f>
        <v>3683618.16</v>
      </c>
      <c r="F14" s="250"/>
      <c r="G14" s="256"/>
    </row>
    <row r="15" spans="4:7" ht="12.75">
      <c r="D15" s="162" t="s">
        <v>76</v>
      </c>
      <c r="E15" s="250">
        <f>'STOCK X ORIGEN'!I64</f>
        <v>12856520.67</v>
      </c>
      <c r="F15" s="250"/>
      <c r="G15" s="256"/>
    </row>
    <row r="16" spans="4:7" ht="12.75">
      <c r="D16" s="162" t="s">
        <v>125</v>
      </c>
      <c r="E16" s="250">
        <f>'STOCK X ORIGEN'!I32</f>
        <v>27341303.12</v>
      </c>
      <c r="F16" s="250"/>
      <c r="G16" s="256"/>
    </row>
    <row r="17" spans="4:7" ht="13.5" customHeight="1">
      <c r="D17" s="445" t="s">
        <v>209</v>
      </c>
      <c r="E17" s="446">
        <f>'STOCK X ORIGEN'!I75</f>
        <v>954092</v>
      </c>
      <c r="F17" s="251"/>
      <c r="G17" s="257"/>
    </row>
    <row r="18" spans="4:7" ht="12.75">
      <c r="D18" s="442" t="s">
        <v>163</v>
      </c>
      <c r="E18" s="443">
        <f>SUM(E19:E20)</f>
        <v>70380951.98466805</v>
      </c>
      <c r="F18" s="443"/>
      <c r="G18" s="444">
        <f>E18/F11</f>
        <v>0.559004564097098</v>
      </c>
    </row>
    <row r="19" spans="4:14" ht="12.75">
      <c r="D19" s="161" t="s">
        <v>77</v>
      </c>
      <c r="E19" s="249">
        <f>'STOCK X ORIGEN'!I25</f>
        <v>0</v>
      </c>
      <c r="F19" s="249"/>
      <c r="G19" s="255"/>
      <c r="N19" s="167"/>
    </row>
    <row r="20" spans="4:7" ht="12.75">
      <c r="D20" s="162" t="s">
        <v>75</v>
      </c>
      <c r="E20" s="250">
        <f>'STOCK X ORIGEN'!I12</f>
        <v>70380951.98466805</v>
      </c>
      <c r="F20" s="250"/>
      <c r="G20" s="256"/>
    </row>
    <row r="21" spans="4:7" ht="12.75">
      <c r="D21" s="164" t="s">
        <v>164</v>
      </c>
      <c r="E21" s="252"/>
      <c r="F21" s="252">
        <f>SUM(E22:E24)</f>
        <v>49338395.17000001</v>
      </c>
      <c r="G21" s="275">
        <f>F21/F27</f>
        <v>0.275607436065948</v>
      </c>
    </row>
    <row r="22" spans="4:7" ht="12.75">
      <c r="D22" s="161" t="s">
        <v>200</v>
      </c>
      <c r="E22" s="249">
        <f>'STOCK X ORIGEN'!I54</f>
        <v>30714552.090000004</v>
      </c>
      <c r="F22" s="249"/>
      <c r="G22" s="255"/>
    </row>
    <row r="23" spans="4:7" ht="12.75">
      <c r="D23" s="162" t="s">
        <v>199</v>
      </c>
      <c r="E23" s="250">
        <f>'STOCK X ORIGEN'!I71+'STOCK X ORIGEN'!I74</f>
        <v>17069366.12</v>
      </c>
      <c r="F23" s="250"/>
      <c r="G23" s="256"/>
    </row>
    <row r="24" spans="4:7" ht="12.75">
      <c r="D24" s="163" t="s">
        <v>206</v>
      </c>
      <c r="E24" s="251">
        <f>'STOCK X ORIGEN'!I72</f>
        <v>1554476.96</v>
      </c>
      <c r="F24" s="251"/>
      <c r="G24" s="257"/>
    </row>
    <row r="25" spans="4:7" ht="12.75">
      <c r="D25" s="164" t="s">
        <v>147</v>
      </c>
      <c r="E25" s="252"/>
      <c r="F25" s="252">
        <f>SUM(E26:E26)</f>
        <v>3774453.9</v>
      </c>
      <c r="G25" s="275">
        <f>F25/F27</f>
        <v>0.021084341279114974</v>
      </c>
    </row>
    <row r="26" spans="4:7" ht="13.5" customHeight="1" thickBot="1">
      <c r="D26" s="165" t="s">
        <v>131</v>
      </c>
      <c r="E26" s="312">
        <f>'STOCK X ORIGEN'!I73</f>
        <v>3774453.9</v>
      </c>
      <c r="F26" s="312"/>
      <c r="G26" s="268"/>
    </row>
    <row r="27" spans="4:7" ht="13.5" thickBot="1">
      <c r="D27" s="801" t="s">
        <v>151</v>
      </c>
      <c r="E27" s="803"/>
      <c r="F27" s="244">
        <f>F11+F21+F25</f>
        <v>179016923.03466806</v>
      </c>
      <c r="G27" s="464">
        <f>G11+G21+G25</f>
        <v>1.0000000000000002</v>
      </c>
    </row>
    <row r="28" ht="12.75">
      <c r="F28"/>
    </row>
    <row r="29" spans="4:12" ht="12.75">
      <c r="D29" s="11"/>
      <c r="I29" s="166"/>
      <c r="J29" s="166"/>
      <c r="K29" s="166"/>
      <c r="L29" s="166"/>
    </row>
    <row r="30" ht="12.75">
      <c r="E30" s="246"/>
    </row>
  </sheetData>
  <sheetProtection/>
  <mergeCells count="6">
    <mergeCell ref="D27:E27"/>
    <mergeCell ref="K11:L11"/>
    <mergeCell ref="G9:G10"/>
    <mergeCell ref="F9:F10"/>
    <mergeCell ref="E9:E10"/>
    <mergeCell ref="K10:L10"/>
  </mergeCells>
  <printOptions horizontalCentered="1"/>
  <pageMargins left="0" right="0" top="0" bottom="0" header="0" footer="0.3937007874015748"/>
  <pageSetup firstPageNumber="15" useFirstPageNumber="1" horizontalDpi="600" verticalDpi="600" orientation="portrait" paperSize="9" scale="80" r:id="rId2"/>
  <headerFooter alignWithMargins="0">
    <oddFooter>&amp;CPágina Nº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L54"/>
  <sheetViews>
    <sheetView showGridLines="0" showZeros="0" zoomScalePageLayoutView="0" workbookViewId="0" topLeftCell="A1">
      <selection activeCell="F9" sqref="F9"/>
    </sheetView>
  </sheetViews>
  <sheetFormatPr defaultColWidth="11.421875" defaultRowHeight="12.75"/>
  <cols>
    <col min="1" max="1" width="7.00390625" style="0" customWidth="1"/>
    <col min="2" max="2" width="17.421875" style="0" customWidth="1"/>
    <col min="3" max="3" width="13.28125" style="0" bestFit="1" customWidth="1"/>
    <col min="4" max="4" width="8.28125" style="0" bestFit="1" customWidth="1"/>
    <col min="5" max="5" width="4.7109375" style="0" customWidth="1"/>
    <col min="6" max="6" width="14.28125" style="0" bestFit="1" customWidth="1"/>
    <col min="7" max="7" width="8.00390625" style="0" bestFit="1" customWidth="1"/>
    <col min="8" max="8" width="4.7109375" style="0" customWidth="1"/>
    <col min="9" max="9" width="11.7109375" style="0" customWidth="1"/>
    <col min="10" max="10" width="4.7109375" style="0" customWidth="1"/>
    <col min="11" max="11" width="13.140625" style="0" customWidth="1"/>
    <col min="12" max="12" width="7.00390625" style="0" customWidth="1"/>
  </cols>
  <sheetData>
    <row r="1" spans="1:12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46" t="s">
        <v>88</v>
      </c>
    </row>
    <row r="2" spans="1:10" ht="18" customHeight="1">
      <c r="A2" s="25"/>
      <c r="G2" s="24" t="s">
        <v>307</v>
      </c>
      <c r="J2" s="24"/>
    </row>
    <row r="3" spans="1:10" ht="18" customHeight="1">
      <c r="A3" s="25"/>
      <c r="G3" s="24" t="s">
        <v>308</v>
      </c>
      <c r="J3" s="24"/>
    </row>
    <row r="4" spans="1:12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46" t="s">
        <v>85</v>
      </c>
    </row>
    <row r="5" spans="1:10" ht="12.75">
      <c r="A5" s="16"/>
      <c r="G5" s="234" t="s">
        <v>325</v>
      </c>
      <c r="J5" s="234"/>
    </row>
    <row r="6" ht="12.75">
      <c r="A6" s="155"/>
    </row>
    <row r="7" ht="13.5" thickBot="1"/>
    <row r="8" spans="2:11" ht="12.75" customHeight="1">
      <c r="B8" s="797" t="s">
        <v>152</v>
      </c>
      <c r="C8" s="456" t="s">
        <v>215</v>
      </c>
      <c r="D8" s="447" t="s">
        <v>185</v>
      </c>
      <c r="E8" s="459"/>
      <c r="F8" s="456" t="s">
        <v>215</v>
      </c>
      <c r="G8" s="447" t="s">
        <v>185</v>
      </c>
      <c r="I8" s="456" t="s">
        <v>215</v>
      </c>
      <c r="K8" s="447" t="s">
        <v>214</v>
      </c>
    </row>
    <row r="9" spans="2:11" ht="18.75" customHeight="1" thickBot="1">
      <c r="B9" s="798"/>
      <c r="C9" s="458">
        <v>40908</v>
      </c>
      <c r="D9" s="448" t="s">
        <v>186</v>
      </c>
      <c r="E9" s="460"/>
      <c r="F9" s="458">
        <v>41243</v>
      </c>
      <c r="G9" s="448" t="s">
        <v>186</v>
      </c>
      <c r="I9" s="458">
        <v>42369</v>
      </c>
      <c r="K9" s="448" t="s">
        <v>266</v>
      </c>
    </row>
    <row r="10" spans="2:11" ht="15" customHeight="1">
      <c r="B10" s="523" t="s">
        <v>1</v>
      </c>
      <c r="C10" s="211">
        <v>31293011.551027343</v>
      </c>
      <c r="D10" s="449">
        <f aca="true" t="shared" si="0" ref="D10:D27">C10/$C$28</f>
        <v>0.15576678463218846</v>
      </c>
      <c r="E10" s="461"/>
      <c r="F10" s="285">
        <v>28800818.270000003</v>
      </c>
      <c r="G10" s="449">
        <f aca="true" t="shared" si="1" ref="G10:G27">F10/$F$28</f>
        <v>0.16088321585760643</v>
      </c>
      <c r="I10" s="718">
        <f>+'[55]Comparativa STOCK (2011-2015)'!$I$10:$K$10</f>
        <v>11885164.629999999</v>
      </c>
      <c r="K10" s="449">
        <f aca="true" t="shared" si="2" ref="K10:K27">+F10/C10</f>
        <v>0.9203594298693978</v>
      </c>
    </row>
    <row r="11" spans="2:11" ht="15" customHeight="1">
      <c r="B11" s="284" t="s">
        <v>16</v>
      </c>
      <c r="C11" s="457">
        <v>21459863.462843806</v>
      </c>
      <c r="D11" s="450">
        <f t="shared" si="0"/>
        <v>0.10682046132895189</v>
      </c>
      <c r="E11" s="461"/>
      <c r="F11" s="285">
        <v>27223270.1</v>
      </c>
      <c r="G11" s="450">
        <f t="shared" si="1"/>
        <v>0.15207093072110212</v>
      </c>
      <c r="I11" s="285">
        <f>+'[52]Comparativa STOCK (2011-2015)'!$I$10:$K$10</f>
        <v>12891922.671751276</v>
      </c>
      <c r="K11" s="450">
        <f t="shared" si="2"/>
        <v>1.2685667896785604</v>
      </c>
    </row>
    <row r="12" spans="2:11" ht="15" customHeight="1">
      <c r="B12" s="693" t="s">
        <v>22</v>
      </c>
      <c r="C12" s="457">
        <v>27927478.774176396</v>
      </c>
      <c r="D12" s="450">
        <f t="shared" si="0"/>
        <v>0.13901421933915253</v>
      </c>
      <c r="E12" s="461"/>
      <c r="F12" s="214">
        <v>21028144.9</v>
      </c>
      <c r="G12" s="450">
        <f t="shared" si="1"/>
        <v>0.11746456448967152</v>
      </c>
      <c r="I12" s="285">
        <f>+'[53]Comparativa STOCK (2011-2015)'!$I$10:$K$10</f>
        <v>15806522.70447895</v>
      </c>
      <c r="K12" s="450">
        <f t="shared" si="2"/>
        <v>0.7529553623524377</v>
      </c>
    </row>
    <row r="13" spans="2:11" ht="15" customHeight="1">
      <c r="B13" s="693" t="s">
        <v>12</v>
      </c>
      <c r="C13" s="285">
        <v>22246711.21</v>
      </c>
      <c r="D13" s="450">
        <f t="shared" si="0"/>
        <v>0.1107371423223981</v>
      </c>
      <c r="E13" s="461"/>
      <c r="F13" s="285">
        <v>20294108.759999998</v>
      </c>
      <c r="G13" s="450">
        <f t="shared" si="1"/>
        <v>0.11336419158874199</v>
      </c>
      <c r="I13" s="285">
        <f>+'[61]Comparativa STOCK (2011-2015)'!$I$10:$K$10</f>
        <v>8440020.8</v>
      </c>
      <c r="K13" s="450">
        <f t="shared" si="2"/>
        <v>0.9122296131069343</v>
      </c>
    </row>
    <row r="14" spans="2:11" ht="15" customHeight="1">
      <c r="B14" s="693" t="s">
        <v>11</v>
      </c>
      <c r="C14" s="457">
        <v>17788441.948799998</v>
      </c>
      <c r="D14" s="450">
        <f t="shared" si="0"/>
        <v>0.08854527795967114</v>
      </c>
      <c r="E14" s="461"/>
      <c r="F14" s="285">
        <v>17322455.34</v>
      </c>
      <c r="G14" s="450">
        <f t="shared" si="1"/>
        <v>0.09676434521834044</v>
      </c>
      <c r="I14" s="285">
        <f>+'[59]Comparativa STOCK (2011-2015)'!$I$10:$K$10</f>
        <v>12858162.812885836</v>
      </c>
      <c r="K14" s="450">
        <f t="shared" si="2"/>
        <v>0.9738039671972827</v>
      </c>
    </row>
    <row r="15" spans="2:11" ht="15" customHeight="1">
      <c r="B15" s="693" t="s">
        <v>8</v>
      </c>
      <c r="C15" s="285">
        <v>15930196.930000002</v>
      </c>
      <c r="D15" s="450">
        <f t="shared" si="0"/>
        <v>0.07929551779627922</v>
      </c>
      <c r="E15" s="461"/>
      <c r="F15" s="285">
        <v>14103155.660000002</v>
      </c>
      <c r="G15" s="450">
        <f t="shared" si="1"/>
        <v>0.07878113097517919</v>
      </c>
      <c r="I15" s="285">
        <f>+'[66]Comparativa STOCK (2011-2015)'!$I$10:$K$10</f>
        <v>5944416.750000002</v>
      </c>
      <c r="K15" s="450">
        <f t="shared" si="2"/>
        <v>0.88530956158117</v>
      </c>
    </row>
    <row r="16" spans="2:11" ht="15" customHeight="1">
      <c r="B16" s="693" t="s">
        <v>3</v>
      </c>
      <c r="C16" s="285">
        <v>17761465.370405015</v>
      </c>
      <c r="D16" s="450">
        <f t="shared" si="0"/>
        <v>0.08841099702381067</v>
      </c>
      <c r="E16" s="461"/>
      <c r="F16" s="285">
        <v>13202965.020000003</v>
      </c>
      <c r="G16" s="450">
        <f t="shared" si="1"/>
        <v>0.07375260839327143</v>
      </c>
      <c r="I16" s="285">
        <f>+'[65]Comparativa STOCK (2011-2015)'!$I$10:$K$10</f>
        <v>4956874.133547882</v>
      </c>
      <c r="K16" s="450">
        <f t="shared" si="2"/>
        <v>0.7433488591543467</v>
      </c>
    </row>
    <row r="17" spans="2:11" ht="15" customHeight="1">
      <c r="B17" s="693" t="s">
        <v>4</v>
      </c>
      <c r="C17" s="285">
        <v>10002773.91418501</v>
      </c>
      <c r="D17" s="450">
        <f t="shared" si="0"/>
        <v>0.04979066739788351</v>
      </c>
      <c r="E17" s="461"/>
      <c r="F17" s="285">
        <v>8233850.509999998</v>
      </c>
      <c r="G17" s="450">
        <f t="shared" si="1"/>
        <v>0.0459948164153182</v>
      </c>
      <c r="I17" s="285">
        <f>+'[60]Comparativa STOCK (2011-2015)'!$I$10:$K$10</f>
        <v>3336201.4552985313</v>
      </c>
      <c r="K17" s="450">
        <f t="shared" si="2"/>
        <v>0.8231567143913462</v>
      </c>
    </row>
    <row r="18" spans="2:11" ht="15" customHeight="1">
      <c r="B18" s="694" t="s">
        <v>10</v>
      </c>
      <c r="C18" s="457">
        <v>8104594.126640005</v>
      </c>
      <c r="D18" s="450">
        <f t="shared" si="0"/>
        <v>0.0403421244962979</v>
      </c>
      <c r="E18" s="461"/>
      <c r="F18" s="285">
        <v>6617156.160000004</v>
      </c>
      <c r="G18" s="450">
        <f t="shared" si="1"/>
        <v>0.03696385820960116</v>
      </c>
      <c r="I18" s="285">
        <f>+'[58]Comparativa STOCK (2011-2015)'!$I$10:$K$10</f>
        <v>1151640.4406548664</v>
      </c>
      <c r="K18" s="450">
        <f t="shared" si="2"/>
        <v>0.8164697770921365</v>
      </c>
    </row>
    <row r="19" spans="2:11" ht="15" customHeight="1">
      <c r="B19" s="694" t="s">
        <v>21</v>
      </c>
      <c r="C19" s="457">
        <v>7078609.602640001</v>
      </c>
      <c r="D19" s="450">
        <f t="shared" si="0"/>
        <v>0.03523509572326757</v>
      </c>
      <c r="E19" s="461"/>
      <c r="F19" s="716">
        <v>6316283.309999999</v>
      </c>
      <c r="G19" s="450">
        <f t="shared" si="1"/>
        <v>0.03528316319536731</v>
      </c>
      <c r="I19" s="285">
        <f>+'[54]Comparativa STOCK (2011-2015)'!$I$10:$K$10</f>
        <v>3759610.916395898</v>
      </c>
      <c r="K19" s="450">
        <f t="shared" si="2"/>
        <v>0.8923056453974112</v>
      </c>
    </row>
    <row r="20" spans="2:11" ht="15" customHeight="1">
      <c r="B20" s="452" t="s">
        <v>13</v>
      </c>
      <c r="C20" s="285">
        <v>7332688.406591993</v>
      </c>
      <c r="D20" s="450">
        <f t="shared" si="0"/>
        <v>0.036499820221587535</v>
      </c>
      <c r="E20" s="461"/>
      <c r="F20" s="285">
        <v>6156844.74</v>
      </c>
      <c r="G20" s="450">
        <f t="shared" si="1"/>
        <v>0.03439252912959645</v>
      </c>
      <c r="I20" s="285">
        <f>+'[49]Comparativa STOCK (2011-2015)'!$I$10:$K$10</f>
        <v>2982334.6846027933</v>
      </c>
      <c r="K20" s="450">
        <f t="shared" si="2"/>
        <v>0.8396435793542073</v>
      </c>
    </row>
    <row r="21" spans="2:11" ht="15" customHeight="1">
      <c r="B21" s="452" t="s">
        <v>5</v>
      </c>
      <c r="C21" s="285">
        <v>3021425.72</v>
      </c>
      <c r="D21" s="450">
        <f t="shared" si="0"/>
        <v>0.015039708423139736</v>
      </c>
      <c r="E21" s="461"/>
      <c r="F21" s="285">
        <v>2016727.11</v>
      </c>
      <c r="G21" s="450">
        <f t="shared" si="1"/>
        <v>0.011265566829466916</v>
      </c>
      <c r="I21" s="285">
        <f>+'[64]Comparativa STOCK (2011-2015)'!$I$10:$K$10</f>
        <v>0</v>
      </c>
      <c r="K21" s="450">
        <f t="shared" si="2"/>
        <v>0.6674753235369957</v>
      </c>
    </row>
    <row r="22" spans="2:11" ht="15" customHeight="1">
      <c r="B22" s="452" t="s">
        <v>15</v>
      </c>
      <c r="C22" s="285">
        <v>2116803.5721018217</v>
      </c>
      <c r="D22" s="450">
        <f t="shared" si="0"/>
        <v>0.010536783447210494</v>
      </c>
      <c r="E22" s="461"/>
      <c r="F22" s="285">
        <v>1937202.97</v>
      </c>
      <c r="G22" s="450">
        <f t="shared" si="1"/>
        <v>0.01082133988905261</v>
      </c>
      <c r="I22" s="285">
        <f>+'[51]Comparativa STOCK (2011-2015)'!$I$10:$K$10</f>
        <v>1238542.3024292002</v>
      </c>
      <c r="K22" s="450">
        <f t="shared" si="2"/>
        <v>0.9151548096059323</v>
      </c>
    </row>
    <row r="23" spans="2:11" ht="15" customHeight="1">
      <c r="B23" s="452" t="s">
        <v>14</v>
      </c>
      <c r="C23" s="285">
        <v>1683837.328000002</v>
      </c>
      <c r="D23" s="450">
        <f t="shared" si="0"/>
        <v>0.008381613447415392</v>
      </c>
      <c r="E23" s="461"/>
      <c r="F23" s="285">
        <v>1464244.12</v>
      </c>
      <c r="G23" s="450">
        <f t="shared" si="1"/>
        <v>0.008179361454864349</v>
      </c>
      <c r="I23" s="285">
        <f>+'[50]Comparativa STOCK (2011-2015)'!$I$10:$K$10</f>
        <v>803957.3699712101</v>
      </c>
      <c r="K23" s="450">
        <f t="shared" si="2"/>
        <v>0.8695876351305108</v>
      </c>
    </row>
    <row r="24" spans="2:11" ht="15" customHeight="1">
      <c r="B24" s="452" t="s">
        <v>6</v>
      </c>
      <c r="C24" s="457">
        <v>1761884.94</v>
      </c>
      <c r="D24" s="450">
        <f t="shared" si="0"/>
        <v>0.008770109950848318</v>
      </c>
      <c r="E24" s="461"/>
      <c r="F24" s="285">
        <v>1421055.7</v>
      </c>
      <c r="G24" s="450">
        <f t="shared" si="1"/>
        <v>0.00793810817406272</v>
      </c>
      <c r="I24" s="285">
        <f>+'[57]Comparativa STOCK (2011-2015)'!$I$10:$K$10</f>
        <v>590160</v>
      </c>
      <c r="K24" s="450">
        <f t="shared" si="2"/>
        <v>0.8065542009797757</v>
      </c>
    </row>
    <row r="25" spans="2:11" ht="15" customHeight="1">
      <c r="B25" s="452" t="s">
        <v>7</v>
      </c>
      <c r="C25" s="285">
        <v>2438899.7990825903</v>
      </c>
      <c r="D25" s="450">
        <f t="shared" si="0"/>
        <v>0.01214007731802066</v>
      </c>
      <c r="E25" s="461"/>
      <c r="F25" s="285">
        <v>1043118.54</v>
      </c>
      <c r="G25" s="450">
        <f t="shared" si="1"/>
        <v>0.0058269269873731004</v>
      </c>
      <c r="I25" s="285">
        <f>+'[63]Comparativa STOCK (2011-2015)'!$I$10:$K$10</f>
        <v>0</v>
      </c>
      <c r="K25" s="450">
        <f t="shared" si="2"/>
        <v>0.4277004493552284</v>
      </c>
    </row>
    <row r="26" spans="2:11" ht="15" customHeight="1">
      <c r="B26" s="452" t="s">
        <v>23</v>
      </c>
      <c r="C26" s="285">
        <v>1706185.1</v>
      </c>
      <c r="D26" s="450">
        <f t="shared" si="0"/>
        <v>0.008492853638614526</v>
      </c>
      <c r="E26" s="461"/>
      <c r="F26" s="285">
        <v>1006724.01</v>
      </c>
      <c r="G26" s="450">
        <f t="shared" si="1"/>
        <v>0.005623624811333012</v>
      </c>
      <c r="I26" s="285">
        <f>+'[62]Comparativa STOCK (2011-2015)'!$I$10:$K$10</f>
        <v>0</v>
      </c>
      <c r="K26" s="450">
        <f t="shared" si="2"/>
        <v>0.5900438410814863</v>
      </c>
    </row>
    <row r="27" spans="2:11" ht="15" customHeight="1" thickBot="1">
      <c r="B27" s="453" t="s">
        <v>9</v>
      </c>
      <c r="C27" s="214">
        <v>1241690.53</v>
      </c>
      <c r="D27" s="451">
        <f t="shared" si="0"/>
        <v>0.006180745533262305</v>
      </c>
      <c r="E27" s="461"/>
      <c r="F27" s="717">
        <v>828797.81</v>
      </c>
      <c r="G27" s="451">
        <f t="shared" si="1"/>
        <v>0.004629717660051103</v>
      </c>
      <c r="I27" s="214">
        <f>+'[48]Comparativa STOCK (2011-2015)'!$I$10:$K$10</f>
        <v>0</v>
      </c>
      <c r="K27" s="451">
        <f t="shared" si="2"/>
        <v>0.6674753410578077</v>
      </c>
    </row>
    <row r="28" spans="2:9" ht="15" customHeight="1" thickBot="1">
      <c r="B28" s="455" t="s">
        <v>151</v>
      </c>
      <c r="C28" s="261">
        <f>SUM(C10:C27)</f>
        <v>200896562.286494</v>
      </c>
      <c r="D28" s="454">
        <f>SUM(D10:D27)</f>
        <v>1</v>
      </c>
      <c r="E28" s="461"/>
      <c r="F28" s="261">
        <f>SUM(F10:F27)</f>
        <v>179016923.03</v>
      </c>
      <c r="G28" s="454">
        <f>SUM(G10:G27)</f>
        <v>1</v>
      </c>
      <c r="I28" s="261">
        <f>SUM(I10:I27)</f>
        <v>86645531.67201644</v>
      </c>
    </row>
    <row r="29" spans="4:9" ht="12.75">
      <c r="D29" s="11"/>
      <c r="E29" s="11"/>
      <c r="F29" s="13"/>
      <c r="I29" s="13"/>
    </row>
    <row r="31" spans="8:11" ht="12.75">
      <c r="H31" s="167"/>
      <c r="J31" s="290"/>
      <c r="K31" s="55"/>
    </row>
    <row r="32" spans="8:11" ht="12.75">
      <c r="H32" s="13"/>
      <c r="K32" s="13"/>
    </row>
    <row r="52" spans="4:6" ht="12.75">
      <c r="D52" s="11"/>
      <c r="E52" s="11"/>
      <c r="F52" s="13"/>
    </row>
    <row r="53" spans="4:6" ht="12.75">
      <c r="D53" s="11"/>
      <c r="E53" s="11"/>
      <c r="F53" s="13"/>
    </row>
    <row r="54" spans="4:6" ht="12.75">
      <c r="D54" s="11"/>
      <c r="E54" s="11"/>
      <c r="F54" s="13"/>
    </row>
  </sheetData>
  <sheetProtection/>
  <mergeCells count="1">
    <mergeCell ref="B8:B9"/>
  </mergeCells>
  <printOptions horizontalCentered="1"/>
  <pageMargins left="0" right="0" top="0" bottom="0" header="0" footer="0"/>
  <pageSetup firstPageNumber="16" useFirstPageNumber="1" horizontalDpi="600" verticalDpi="600" orientation="portrait" paperSize="9" scale="90" r:id="rId2"/>
  <headerFooter alignWithMargins="0">
    <oddFooter>&amp;CPágina N°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543"/>
  <sheetViews>
    <sheetView showGridLines="0" zoomScalePageLayoutView="0" workbookViewId="0" topLeftCell="Q1">
      <selection activeCell="AD15" sqref="AD15"/>
    </sheetView>
  </sheetViews>
  <sheetFormatPr defaultColWidth="11.421875" defaultRowHeight="12.75"/>
  <cols>
    <col min="1" max="1" width="24.28125" style="0" customWidth="1"/>
    <col min="2" max="6" width="8.57421875" style="0" customWidth="1"/>
    <col min="7" max="7" width="8.7109375" style="0" customWidth="1"/>
    <col min="8" max="10" width="8.57421875" style="0" customWidth="1"/>
    <col min="11" max="13" width="8.7109375" style="0" customWidth="1"/>
    <col min="14" max="14" width="10.00390625" style="0" customWidth="1"/>
    <col min="15" max="15" width="9.57421875" style="0" customWidth="1"/>
    <col min="16" max="16" width="8.57421875" style="0" customWidth="1"/>
    <col min="17" max="17" width="8.8515625" style="0" customWidth="1"/>
    <col min="18" max="19" width="8.57421875" style="0" customWidth="1"/>
    <col min="20" max="21" width="8.7109375" style="0" customWidth="1"/>
    <col min="22" max="26" width="8.57421875" style="0" customWidth="1"/>
    <col min="27" max="27" width="8.7109375" style="0" customWidth="1"/>
    <col min="28" max="29" width="9.57421875" style="0" customWidth="1"/>
  </cols>
  <sheetData>
    <row r="1" spans="1:29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9"/>
      <c r="O1" s="46" t="s">
        <v>88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9"/>
      <c r="AC1" s="46" t="s">
        <v>88</v>
      </c>
    </row>
    <row r="2" spans="1:21" ht="18" customHeight="1">
      <c r="A2" s="25"/>
      <c r="G2" s="24" t="s">
        <v>104</v>
      </c>
      <c r="U2" s="24" t="s">
        <v>104</v>
      </c>
    </row>
    <row r="3" spans="1:21" ht="18" customHeight="1">
      <c r="A3" s="25"/>
      <c r="G3" s="24" t="s">
        <v>101</v>
      </c>
      <c r="U3" s="24" t="s">
        <v>100</v>
      </c>
    </row>
    <row r="4" spans="1:29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9"/>
      <c r="O4" s="46" t="s">
        <v>85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9"/>
      <c r="AC4" s="46" t="s">
        <v>85</v>
      </c>
    </row>
    <row r="5" spans="1:22" ht="12.75">
      <c r="A5" s="16"/>
      <c r="C5" s="53"/>
      <c r="G5" s="156" t="s">
        <v>325</v>
      </c>
      <c r="H5" s="17"/>
      <c r="U5" s="18" t="str">
        <f>G5</f>
        <v>Datos provisorios al 30/11/12</v>
      </c>
      <c r="V5" s="17"/>
    </row>
    <row r="6" spans="1:3" ht="13.5" thickBot="1">
      <c r="A6" s="16"/>
      <c r="C6" s="53"/>
    </row>
    <row r="7" spans="1:29" s="55" customFormat="1" ht="13.5" thickBot="1">
      <c r="A7" s="66" t="s">
        <v>97</v>
      </c>
      <c r="B7" s="756" t="s">
        <v>107</v>
      </c>
      <c r="C7" s="757"/>
      <c r="D7" s="756" t="s">
        <v>108</v>
      </c>
      <c r="E7" s="757"/>
      <c r="F7" s="756" t="s">
        <v>109</v>
      </c>
      <c r="G7" s="757"/>
      <c r="H7" s="756" t="s">
        <v>110</v>
      </c>
      <c r="I7" s="757"/>
      <c r="J7" s="756" t="s">
        <v>111</v>
      </c>
      <c r="K7" s="757"/>
      <c r="L7" s="756" t="s">
        <v>112</v>
      </c>
      <c r="M7" s="757"/>
      <c r="N7" s="756" t="s">
        <v>99</v>
      </c>
      <c r="O7" s="757"/>
      <c r="P7" s="756" t="s">
        <v>113</v>
      </c>
      <c r="Q7" s="757"/>
      <c r="R7" s="756" t="s">
        <v>114</v>
      </c>
      <c r="S7" s="757"/>
      <c r="T7" s="756" t="s">
        <v>115</v>
      </c>
      <c r="U7" s="757"/>
      <c r="V7" s="756" t="s">
        <v>116</v>
      </c>
      <c r="W7" s="757"/>
      <c r="X7" s="756" t="s">
        <v>117</v>
      </c>
      <c r="Y7" s="757"/>
      <c r="Z7" s="756" t="s">
        <v>118</v>
      </c>
      <c r="AA7" s="757"/>
      <c r="AB7" s="756" t="s">
        <v>103</v>
      </c>
      <c r="AC7" s="757"/>
    </row>
    <row r="8" spans="1:29" s="55" customFormat="1" ht="12.75">
      <c r="A8" s="65"/>
      <c r="B8" s="64" t="s">
        <v>102</v>
      </c>
      <c r="C8" s="63" t="s">
        <v>78</v>
      </c>
      <c r="D8" s="62" t="s">
        <v>102</v>
      </c>
      <c r="E8" s="61" t="s">
        <v>78</v>
      </c>
      <c r="F8" s="62" t="s">
        <v>102</v>
      </c>
      <c r="G8" s="61" t="s">
        <v>78</v>
      </c>
      <c r="H8" s="62" t="s">
        <v>102</v>
      </c>
      <c r="I8" s="61" t="s">
        <v>78</v>
      </c>
      <c r="J8" s="62" t="s">
        <v>102</v>
      </c>
      <c r="K8" s="61" t="s">
        <v>78</v>
      </c>
      <c r="L8" s="62" t="s">
        <v>102</v>
      </c>
      <c r="M8" s="61" t="s">
        <v>78</v>
      </c>
      <c r="N8" s="62" t="s">
        <v>102</v>
      </c>
      <c r="O8" s="61" t="s">
        <v>78</v>
      </c>
      <c r="P8" s="62" t="s">
        <v>102</v>
      </c>
      <c r="Q8" s="61" t="s">
        <v>78</v>
      </c>
      <c r="R8" s="62" t="s">
        <v>102</v>
      </c>
      <c r="S8" s="61" t="s">
        <v>78</v>
      </c>
      <c r="T8" s="62" t="s">
        <v>102</v>
      </c>
      <c r="U8" s="61" t="s">
        <v>78</v>
      </c>
      <c r="V8" s="62" t="s">
        <v>102</v>
      </c>
      <c r="W8" s="61" t="s">
        <v>78</v>
      </c>
      <c r="X8" s="62" t="s">
        <v>102</v>
      </c>
      <c r="Y8" s="61" t="s">
        <v>78</v>
      </c>
      <c r="Z8" s="62" t="s">
        <v>102</v>
      </c>
      <c r="AA8" s="61" t="s">
        <v>78</v>
      </c>
      <c r="AB8" s="62" t="s">
        <v>102</v>
      </c>
      <c r="AC8" s="61" t="s">
        <v>78</v>
      </c>
    </row>
    <row r="9" spans="1:29" s="55" customFormat="1" ht="13.5" thickBot="1">
      <c r="A9" s="60"/>
      <c r="B9" s="59" t="s">
        <v>1</v>
      </c>
      <c r="C9" s="58" t="s">
        <v>106</v>
      </c>
      <c r="D9" s="57" t="s">
        <v>1</v>
      </c>
      <c r="E9" s="56" t="s">
        <v>106</v>
      </c>
      <c r="F9" s="57" t="s">
        <v>1</v>
      </c>
      <c r="G9" s="56" t="s">
        <v>106</v>
      </c>
      <c r="H9" s="57" t="s">
        <v>1</v>
      </c>
      <c r="I9" s="56" t="s">
        <v>106</v>
      </c>
      <c r="J9" s="57" t="s">
        <v>1</v>
      </c>
      <c r="K9" s="56" t="s">
        <v>106</v>
      </c>
      <c r="L9" s="57" t="s">
        <v>1</v>
      </c>
      <c r="M9" s="56" t="s">
        <v>106</v>
      </c>
      <c r="N9" s="57" t="s">
        <v>1</v>
      </c>
      <c r="O9" s="56" t="s">
        <v>106</v>
      </c>
      <c r="P9" s="57" t="s">
        <v>1</v>
      </c>
      <c r="Q9" s="56" t="s">
        <v>106</v>
      </c>
      <c r="R9" s="57" t="s">
        <v>1</v>
      </c>
      <c r="S9" s="56" t="s">
        <v>106</v>
      </c>
      <c r="T9" s="57" t="s">
        <v>1</v>
      </c>
      <c r="U9" s="56" t="s">
        <v>106</v>
      </c>
      <c r="V9" s="57" t="s">
        <v>1</v>
      </c>
      <c r="W9" s="56" t="s">
        <v>106</v>
      </c>
      <c r="X9" s="57" t="s">
        <v>1</v>
      </c>
      <c r="Y9" s="56" t="s">
        <v>106</v>
      </c>
      <c r="Z9" s="57" t="s">
        <v>1</v>
      </c>
      <c r="AA9" s="56" t="s">
        <v>106</v>
      </c>
      <c r="AB9" s="57" t="s">
        <v>1</v>
      </c>
      <c r="AC9" s="56" t="s">
        <v>106</v>
      </c>
    </row>
    <row r="10" spans="2:18" ht="12.75">
      <c r="B10" s="463"/>
      <c r="C10" s="463"/>
      <c r="R10" s="463"/>
    </row>
    <row r="11" spans="1:30" ht="27" thickBot="1">
      <c r="A11" s="21"/>
      <c r="B11" s="21"/>
      <c r="C11" s="21"/>
      <c r="D11" s="21"/>
      <c r="E11" s="21"/>
      <c r="F11" s="21"/>
      <c r="G11" s="21"/>
      <c r="H11" s="22" t="s">
        <v>134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 t="str">
        <f>H11</f>
        <v>AÑO 2012</v>
      </c>
      <c r="W11" s="21"/>
      <c r="X11" s="21"/>
      <c r="Y11" s="21"/>
      <c r="Z11" s="21"/>
      <c r="AA11" s="21"/>
      <c r="AB11" s="755"/>
      <c r="AC11" s="755"/>
      <c r="AD11" s="16" t="str">
        <f>V11</f>
        <v>AÑO 2012</v>
      </c>
    </row>
    <row r="12" spans="1:29" s="42" customFormat="1" ht="13.5" customHeight="1" thickBot="1">
      <c r="A12" s="45" t="s">
        <v>96</v>
      </c>
      <c r="B12" s="44"/>
      <c r="C12" s="44"/>
      <c r="D12" s="44"/>
      <c r="E12" s="44"/>
      <c r="F12" s="44"/>
      <c r="G12" s="44"/>
      <c r="H12" s="44" t="s">
        <v>144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 t="str">
        <f>H12</f>
        <v>TOMADOS EN DOLARES</v>
      </c>
      <c r="W12" s="44"/>
      <c r="X12" s="44"/>
      <c r="Y12" s="44"/>
      <c r="Z12" s="44"/>
      <c r="AA12" s="44"/>
      <c r="AB12" s="44"/>
      <c r="AC12" s="52"/>
    </row>
    <row r="13" spans="1:29" ht="12.75">
      <c r="A13" s="75" t="s">
        <v>122</v>
      </c>
      <c r="B13" s="69">
        <v>576963.14</v>
      </c>
      <c r="C13" s="70">
        <v>117605.66</v>
      </c>
      <c r="D13" s="69">
        <v>581100.38</v>
      </c>
      <c r="E13" s="70">
        <v>109883.73</v>
      </c>
      <c r="F13" s="69">
        <v>582568.6</v>
      </c>
      <c r="G13" s="70">
        <v>116769.07</v>
      </c>
      <c r="H13" s="69">
        <v>588040.49</v>
      </c>
      <c r="I13" s="70">
        <v>113097.14</v>
      </c>
      <c r="J13" s="69">
        <v>595114.2</v>
      </c>
      <c r="K13" s="70">
        <v>117261.98</v>
      </c>
      <c r="L13" s="69">
        <v>600986.45</v>
      </c>
      <c r="M13" s="70">
        <v>113611.19</v>
      </c>
      <c r="N13" s="69">
        <v>3524773.26</v>
      </c>
      <c r="O13" s="70">
        <v>688228.77</v>
      </c>
      <c r="P13" s="69">
        <v>609127.86</v>
      </c>
      <c r="Q13" s="70">
        <v>117953.84</v>
      </c>
      <c r="R13" s="69">
        <v>616067.84</v>
      </c>
      <c r="S13" s="70">
        <v>118251.31</v>
      </c>
      <c r="T13" s="69">
        <v>625944.28</v>
      </c>
      <c r="U13" s="70">
        <v>115242.35</v>
      </c>
      <c r="V13" s="69">
        <v>632350.4</v>
      </c>
      <c r="W13" s="70">
        <v>119228.41</v>
      </c>
      <c r="X13" s="69">
        <v>641959.92</v>
      </c>
      <c r="Y13" s="70">
        <v>116080.39</v>
      </c>
      <c r="Z13" s="69">
        <v>653971.49</v>
      </c>
      <c r="AA13" s="70">
        <v>121083.36</v>
      </c>
      <c r="AB13" s="69">
        <v>7304195.050000002</v>
      </c>
      <c r="AC13" s="70">
        <v>1396068.43</v>
      </c>
    </row>
    <row r="14" spans="1:29" ht="12.75">
      <c r="A14" s="34" t="s">
        <v>1</v>
      </c>
      <c r="B14" s="67">
        <v>62252.76</v>
      </c>
      <c r="C14" s="68">
        <v>12689.35</v>
      </c>
      <c r="D14" s="67">
        <v>62699.12</v>
      </c>
      <c r="E14" s="68">
        <v>11856.16</v>
      </c>
      <c r="F14" s="67">
        <v>62857.57</v>
      </c>
      <c r="G14" s="68">
        <v>12599.05</v>
      </c>
      <c r="H14" s="67">
        <v>63447.94</v>
      </c>
      <c r="I14" s="68">
        <v>12202.86</v>
      </c>
      <c r="J14" s="67">
        <v>64211.21</v>
      </c>
      <c r="K14" s="68">
        <v>12652.23</v>
      </c>
      <c r="L14" s="67">
        <v>64844.78</v>
      </c>
      <c r="M14" s="68">
        <v>12258.34</v>
      </c>
      <c r="N14" s="73">
        <v>380313.38</v>
      </c>
      <c r="O14" s="74">
        <v>74257.99</v>
      </c>
      <c r="P14" s="67">
        <v>65723.24</v>
      </c>
      <c r="Q14" s="68">
        <v>12726.9</v>
      </c>
      <c r="R14" s="67">
        <v>66472.02</v>
      </c>
      <c r="S14" s="68">
        <v>12758.99</v>
      </c>
      <c r="T14" s="67">
        <v>67537.69</v>
      </c>
      <c r="U14" s="68">
        <v>12434.32</v>
      </c>
      <c r="V14" s="67">
        <v>68228.86</v>
      </c>
      <c r="W14" s="68">
        <v>12864.43</v>
      </c>
      <c r="X14" s="67">
        <v>69265.73</v>
      </c>
      <c r="Y14" s="68">
        <v>12524.76</v>
      </c>
      <c r="Z14" s="67">
        <v>70561.72</v>
      </c>
      <c r="AA14" s="68">
        <v>13064.58</v>
      </c>
      <c r="AB14" s="73">
        <v>788102.64</v>
      </c>
      <c r="AC14" s="74">
        <v>150631.97</v>
      </c>
    </row>
    <row r="15" spans="1:29" ht="12.75">
      <c r="A15" s="34" t="s">
        <v>21</v>
      </c>
      <c r="B15" s="67">
        <v>37677.06</v>
      </c>
      <c r="C15" s="68">
        <v>7679.94</v>
      </c>
      <c r="D15" s="67">
        <v>37947.25</v>
      </c>
      <c r="E15" s="68">
        <v>7175.65</v>
      </c>
      <c r="F15" s="67">
        <v>38043.11</v>
      </c>
      <c r="G15" s="68">
        <v>7625.31</v>
      </c>
      <c r="H15" s="67">
        <v>38400.45</v>
      </c>
      <c r="I15" s="68">
        <v>7385.51</v>
      </c>
      <c r="J15" s="67">
        <v>38862.37</v>
      </c>
      <c r="K15" s="68">
        <v>7657.49</v>
      </c>
      <c r="L15" s="67">
        <v>39245.85</v>
      </c>
      <c r="M15" s="68">
        <v>7419.1</v>
      </c>
      <c r="N15" s="73">
        <v>230176.09</v>
      </c>
      <c r="O15" s="74">
        <v>44943</v>
      </c>
      <c r="P15" s="67">
        <v>39777.5</v>
      </c>
      <c r="Q15" s="68">
        <v>7702.66</v>
      </c>
      <c r="R15" s="67">
        <v>40230.7</v>
      </c>
      <c r="S15" s="68">
        <v>7722.11</v>
      </c>
      <c r="T15" s="67">
        <v>40875.65</v>
      </c>
      <c r="U15" s="68">
        <v>7525.62</v>
      </c>
      <c r="V15" s="67">
        <v>41293.99</v>
      </c>
      <c r="W15" s="68">
        <v>7785.91</v>
      </c>
      <c r="X15" s="67">
        <v>41921.51</v>
      </c>
      <c r="Y15" s="68">
        <v>7580.32</v>
      </c>
      <c r="Z15" s="67">
        <v>42705.9</v>
      </c>
      <c r="AA15" s="68">
        <v>7907.03</v>
      </c>
      <c r="AB15" s="73">
        <v>476981.34</v>
      </c>
      <c r="AC15" s="74">
        <v>91166.65</v>
      </c>
    </row>
    <row r="16" spans="1:29" ht="12.75">
      <c r="A16" s="34" t="s">
        <v>22</v>
      </c>
      <c r="B16" s="67">
        <v>59274.77</v>
      </c>
      <c r="C16" s="68">
        <v>12082.31</v>
      </c>
      <c r="D16" s="67">
        <v>59699.78</v>
      </c>
      <c r="E16" s="68">
        <v>11289.01</v>
      </c>
      <c r="F16" s="67">
        <v>59850.65</v>
      </c>
      <c r="G16" s="68">
        <v>11996.37</v>
      </c>
      <c r="H16" s="67">
        <v>60412.78</v>
      </c>
      <c r="I16" s="68">
        <v>11619.11</v>
      </c>
      <c r="J16" s="67">
        <v>61139.53</v>
      </c>
      <c r="K16" s="68">
        <v>12047.01</v>
      </c>
      <c r="L16" s="67">
        <v>61742.79</v>
      </c>
      <c r="M16" s="68">
        <v>11671.91</v>
      </c>
      <c r="N16" s="73">
        <v>362120.3</v>
      </c>
      <c r="O16" s="74">
        <v>70705.72</v>
      </c>
      <c r="P16" s="67">
        <v>62579.24</v>
      </c>
      <c r="Q16" s="68">
        <v>12118.06</v>
      </c>
      <c r="R16" s="67">
        <v>63292.19</v>
      </c>
      <c r="S16" s="68">
        <v>12148.62</v>
      </c>
      <c r="T16" s="67">
        <v>64306.89</v>
      </c>
      <c r="U16" s="68">
        <v>11839.53</v>
      </c>
      <c r="V16" s="67">
        <v>64964.99</v>
      </c>
      <c r="W16" s="68">
        <v>12249.01</v>
      </c>
      <c r="X16" s="67">
        <v>65952.27</v>
      </c>
      <c r="Y16" s="68">
        <v>11925.62</v>
      </c>
      <c r="Z16" s="67">
        <v>67186.25</v>
      </c>
      <c r="AA16" s="68">
        <v>12439.58</v>
      </c>
      <c r="AB16" s="73">
        <v>750402.13</v>
      </c>
      <c r="AC16" s="74">
        <v>143426.14</v>
      </c>
    </row>
    <row r="17" spans="1:29" ht="12.75">
      <c r="A17" s="34" t="s">
        <v>16</v>
      </c>
      <c r="B17" s="67">
        <v>127020.03</v>
      </c>
      <c r="C17" s="68">
        <v>25891.18</v>
      </c>
      <c r="D17" s="67">
        <v>127930.84</v>
      </c>
      <c r="E17" s="68">
        <v>24191.22</v>
      </c>
      <c r="F17" s="67">
        <v>128254.09</v>
      </c>
      <c r="G17" s="68">
        <v>25707.01</v>
      </c>
      <c r="H17" s="67">
        <v>129458.72</v>
      </c>
      <c r="I17" s="68">
        <v>24898.66</v>
      </c>
      <c r="J17" s="67">
        <v>131016.03</v>
      </c>
      <c r="K17" s="68">
        <v>25815.56</v>
      </c>
      <c r="L17" s="67">
        <v>132308.81</v>
      </c>
      <c r="M17" s="68">
        <v>25011.82</v>
      </c>
      <c r="N17" s="73">
        <v>775988.52</v>
      </c>
      <c r="O17" s="74">
        <v>151515.45</v>
      </c>
      <c r="P17" s="67">
        <v>134101.18</v>
      </c>
      <c r="Q17" s="68">
        <v>25967.88</v>
      </c>
      <c r="R17" s="67">
        <v>135629.02</v>
      </c>
      <c r="S17" s="68">
        <v>26033.36</v>
      </c>
      <c r="T17" s="67">
        <v>137803.36</v>
      </c>
      <c r="U17" s="68">
        <v>25370.93</v>
      </c>
      <c r="V17" s="67">
        <v>139213.67</v>
      </c>
      <c r="W17" s="68">
        <v>26248.47</v>
      </c>
      <c r="X17" s="67">
        <v>141329.25</v>
      </c>
      <c r="Y17" s="68">
        <v>25555.43</v>
      </c>
      <c r="Z17" s="67">
        <v>143973.61</v>
      </c>
      <c r="AA17" s="68">
        <v>26656.83</v>
      </c>
      <c r="AB17" s="73">
        <v>1608038.61</v>
      </c>
      <c r="AC17" s="74">
        <v>307348.35</v>
      </c>
    </row>
    <row r="18" spans="1:29" ht="12.75">
      <c r="A18" s="34" t="s">
        <v>15</v>
      </c>
      <c r="B18" s="67">
        <v>12412.07</v>
      </c>
      <c r="C18" s="68">
        <v>2530.04</v>
      </c>
      <c r="D18" s="67">
        <v>12501.07</v>
      </c>
      <c r="E18" s="68">
        <v>2363.92</v>
      </c>
      <c r="F18" s="67">
        <v>12532.66</v>
      </c>
      <c r="G18" s="68">
        <v>2512.01</v>
      </c>
      <c r="H18" s="67">
        <v>12650.38</v>
      </c>
      <c r="I18" s="68">
        <v>2433.04</v>
      </c>
      <c r="J18" s="67">
        <v>12802.55</v>
      </c>
      <c r="K18" s="68">
        <v>2522.63</v>
      </c>
      <c r="L18" s="67">
        <v>12928.88</v>
      </c>
      <c r="M18" s="68">
        <v>2444.09</v>
      </c>
      <c r="N18" s="73">
        <v>75827.61</v>
      </c>
      <c r="O18" s="74">
        <v>14805.73</v>
      </c>
      <c r="P18" s="67">
        <v>13104.02</v>
      </c>
      <c r="Q18" s="68">
        <v>2537.49</v>
      </c>
      <c r="R18" s="67">
        <v>13253.32</v>
      </c>
      <c r="S18" s="68">
        <v>2543.92</v>
      </c>
      <c r="T18" s="67">
        <v>13465.79</v>
      </c>
      <c r="U18" s="68">
        <v>2479.18</v>
      </c>
      <c r="V18" s="67">
        <v>13603.6</v>
      </c>
      <c r="W18" s="68">
        <v>2564.92</v>
      </c>
      <c r="X18" s="67">
        <v>13810.33</v>
      </c>
      <c r="Y18" s="68">
        <v>2497.21</v>
      </c>
      <c r="Z18" s="67">
        <v>14068.73</v>
      </c>
      <c r="AA18" s="68">
        <v>2604.84</v>
      </c>
      <c r="AB18" s="73">
        <v>157133.4</v>
      </c>
      <c r="AC18" s="74">
        <v>30033.29</v>
      </c>
    </row>
    <row r="19" spans="1:29" ht="12.75">
      <c r="A19" s="34" t="s">
        <v>14</v>
      </c>
      <c r="B19" s="67">
        <v>8056.9</v>
      </c>
      <c r="C19" s="68">
        <v>1642.26</v>
      </c>
      <c r="D19" s="67">
        <v>8114.64</v>
      </c>
      <c r="E19" s="68">
        <v>1534.44</v>
      </c>
      <c r="F19" s="67">
        <v>8135.18</v>
      </c>
      <c r="G19" s="68">
        <v>1630.59</v>
      </c>
      <c r="H19" s="67">
        <v>8211.55</v>
      </c>
      <c r="I19" s="68">
        <v>1579.33</v>
      </c>
      <c r="J19" s="67">
        <v>8310.37</v>
      </c>
      <c r="K19" s="68">
        <v>1637.48</v>
      </c>
      <c r="L19" s="67">
        <v>8392.33</v>
      </c>
      <c r="M19" s="68">
        <v>1586.5</v>
      </c>
      <c r="N19" s="73">
        <v>49220.97</v>
      </c>
      <c r="O19" s="74">
        <v>9610.6</v>
      </c>
      <c r="P19" s="67">
        <v>8506.06</v>
      </c>
      <c r="Q19" s="68">
        <v>1647.15</v>
      </c>
      <c r="R19" s="67">
        <v>8602.93</v>
      </c>
      <c r="S19" s="68">
        <v>1651.28</v>
      </c>
      <c r="T19" s="67">
        <v>8740.89</v>
      </c>
      <c r="U19" s="68">
        <v>1609.28</v>
      </c>
      <c r="V19" s="67">
        <v>8830.31</v>
      </c>
      <c r="W19" s="68">
        <v>1664.93</v>
      </c>
      <c r="X19" s="67">
        <v>8964.54</v>
      </c>
      <c r="Y19" s="68">
        <v>1620.97</v>
      </c>
      <c r="Z19" s="67">
        <v>9132.23</v>
      </c>
      <c r="AA19" s="68">
        <v>1690.84</v>
      </c>
      <c r="AB19" s="73">
        <v>101997.93</v>
      </c>
      <c r="AC19" s="74">
        <v>19495.05</v>
      </c>
    </row>
    <row r="20" spans="1:29" ht="12.75">
      <c r="A20" s="34" t="s">
        <v>13</v>
      </c>
      <c r="B20" s="67">
        <v>29887.54</v>
      </c>
      <c r="C20" s="68">
        <v>6092.14</v>
      </c>
      <c r="D20" s="67">
        <v>30101.9</v>
      </c>
      <c r="E20" s="68">
        <v>5692.16</v>
      </c>
      <c r="F20" s="67">
        <v>30177.91</v>
      </c>
      <c r="G20" s="68">
        <v>6048.8</v>
      </c>
      <c r="H20" s="67">
        <v>30461.41</v>
      </c>
      <c r="I20" s="68">
        <v>5858.61</v>
      </c>
      <c r="J20" s="67">
        <v>30827.79</v>
      </c>
      <c r="K20" s="68">
        <v>6074.36</v>
      </c>
      <c r="L20" s="67">
        <v>31132.03</v>
      </c>
      <c r="M20" s="68">
        <v>5885.24</v>
      </c>
      <c r="N20" s="73">
        <v>182588.58</v>
      </c>
      <c r="O20" s="74">
        <v>35651.31</v>
      </c>
      <c r="P20" s="67">
        <v>31553.72</v>
      </c>
      <c r="Q20" s="68">
        <v>6110.19</v>
      </c>
      <c r="R20" s="67">
        <v>31913.27</v>
      </c>
      <c r="S20" s="68">
        <v>6125.62</v>
      </c>
      <c r="T20" s="67">
        <v>32424.83</v>
      </c>
      <c r="U20" s="68">
        <v>5969.71</v>
      </c>
      <c r="V20" s="67">
        <v>32756.73</v>
      </c>
      <c r="W20" s="68">
        <v>6176.22</v>
      </c>
      <c r="X20" s="67">
        <v>33254.46</v>
      </c>
      <c r="Y20" s="68">
        <v>6013.13</v>
      </c>
      <c r="Z20" s="67">
        <v>33876.74</v>
      </c>
      <c r="AA20" s="68">
        <v>6272.29</v>
      </c>
      <c r="AB20" s="73">
        <v>378368.33</v>
      </c>
      <c r="AC20" s="74">
        <v>72318.47</v>
      </c>
    </row>
    <row r="21" spans="1:29" ht="12.75">
      <c r="A21" s="34" t="s">
        <v>84</v>
      </c>
      <c r="B21" s="67">
        <v>27881.62</v>
      </c>
      <c r="C21" s="68">
        <v>5683.28</v>
      </c>
      <c r="D21" s="67">
        <v>28081.56</v>
      </c>
      <c r="E21" s="68">
        <v>5310.09</v>
      </c>
      <c r="F21" s="67">
        <v>28152.5</v>
      </c>
      <c r="G21" s="68">
        <v>5642.85</v>
      </c>
      <c r="H21" s="67">
        <v>28416.94</v>
      </c>
      <c r="I21" s="68">
        <v>5465.38</v>
      </c>
      <c r="J21" s="67">
        <v>28758.77</v>
      </c>
      <c r="K21" s="68">
        <v>5666.68</v>
      </c>
      <c r="L21" s="67">
        <v>29042.55</v>
      </c>
      <c r="M21" s="68">
        <v>5490.24</v>
      </c>
      <c r="N21" s="83">
        <v>170333.94</v>
      </c>
      <c r="O21" s="74">
        <v>33258.52</v>
      </c>
      <c r="P21" s="67">
        <v>29435.97</v>
      </c>
      <c r="Q21" s="68">
        <v>5700.12</v>
      </c>
      <c r="R21" s="67">
        <v>29771.35</v>
      </c>
      <c r="S21" s="68">
        <v>5714.47</v>
      </c>
      <c r="T21" s="67">
        <v>30248.62</v>
      </c>
      <c r="U21" s="68">
        <v>5569.05</v>
      </c>
      <c r="V21" s="67">
        <v>30558.2</v>
      </c>
      <c r="W21" s="68">
        <v>5761.69</v>
      </c>
      <c r="X21" s="67">
        <v>31022.58</v>
      </c>
      <c r="Y21" s="68">
        <v>5609.56</v>
      </c>
      <c r="Z21" s="67">
        <v>31603.04</v>
      </c>
      <c r="AA21" s="68">
        <v>5851.34</v>
      </c>
      <c r="AB21" s="73">
        <v>352973.7</v>
      </c>
      <c r="AC21" s="74">
        <v>67464.75</v>
      </c>
    </row>
    <row r="22" spans="1:29" ht="12.75">
      <c r="A22" s="34" t="s">
        <v>105</v>
      </c>
      <c r="B22" s="67">
        <v>44590.32</v>
      </c>
      <c r="C22" s="68">
        <v>9089.11</v>
      </c>
      <c r="D22" s="67">
        <v>44910.07</v>
      </c>
      <c r="E22" s="68">
        <v>8492.3</v>
      </c>
      <c r="F22" s="67">
        <v>45023.53</v>
      </c>
      <c r="G22" s="68">
        <v>9024.46</v>
      </c>
      <c r="H22" s="67">
        <v>45446.44</v>
      </c>
      <c r="I22" s="68">
        <v>8740.67</v>
      </c>
      <c r="J22" s="67">
        <v>45993.11</v>
      </c>
      <c r="K22" s="68">
        <v>9062.52</v>
      </c>
      <c r="L22" s="67">
        <v>46446.96</v>
      </c>
      <c r="M22" s="68">
        <v>8780.4</v>
      </c>
      <c r="N22" s="73">
        <v>272410.43</v>
      </c>
      <c r="O22" s="84">
        <v>53189.46</v>
      </c>
      <c r="P22" s="67">
        <v>47076.15</v>
      </c>
      <c r="Q22" s="68">
        <v>9116</v>
      </c>
      <c r="R22" s="67">
        <v>47612.52</v>
      </c>
      <c r="S22" s="68">
        <v>9138.99</v>
      </c>
      <c r="T22" s="67">
        <v>48375.8</v>
      </c>
      <c r="U22" s="68">
        <v>8906.45</v>
      </c>
      <c r="V22" s="67">
        <v>48870.91</v>
      </c>
      <c r="W22" s="68">
        <v>9214.51</v>
      </c>
      <c r="X22" s="67">
        <v>49613.56</v>
      </c>
      <c r="Y22" s="68">
        <v>8971.23</v>
      </c>
      <c r="Z22" s="67">
        <v>50541.88</v>
      </c>
      <c r="AA22" s="68">
        <v>9357.87</v>
      </c>
      <c r="AB22" s="73">
        <v>564501.25</v>
      </c>
      <c r="AC22" s="74">
        <v>107894.51</v>
      </c>
    </row>
    <row r="23" spans="1:29" ht="12.75">
      <c r="A23" s="34" t="s">
        <v>4</v>
      </c>
      <c r="B23" s="67">
        <v>33433.82</v>
      </c>
      <c r="C23" s="68">
        <v>6814.99</v>
      </c>
      <c r="D23" s="67">
        <v>33673.62</v>
      </c>
      <c r="E23" s="68">
        <v>6367.55</v>
      </c>
      <c r="F23" s="67">
        <v>33758.65</v>
      </c>
      <c r="G23" s="68">
        <v>6766.54</v>
      </c>
      <c r="H23" s="67">
        <v>34075.78</v>
      </c>
      <c r="I23" s="68">
        <v>6553.75</v>
      </c>
      <c r="J23" s="67">
        <v>34485.64</v>
      </c>
      <c r="K23" s="68">
        <v>6795.07</v>
      </c>
      <c r="L23" s="67">
        <v>34825.98</v>
      </c>
      <c r="M23" s="68">
        <v>6583.52</v>
      </c>
      <c r="N23" s="73">
        <v>204253.49</v>
      </c>
      <c r="O23" s="84">
        <v>39881.42</v>
      </c>
      <c r="P23" s="67">
        <v>35297.7</v>
      </c>
      <c r="Q23" s="68">
        <v>6835.18</v>
      </c>
      <c r="R23" s="67">
        <v>35699.91</v>
      </c>
      <c r="S23" s="68">
        <v>6852.41</v>
      </c>
      <c r="T23" s="67">
        <v>36272.18</v>
      </c>
      <c r="U23" s="68">
        <v>6678.04</v>
      </c>
      <c r="V23" s="67">
        <v>36643.46</v>
      </c>
      <c r="W23" s="68">
        <v>6909.05</v>
      </c>
      <c r="X23" s="67">
        <v>37200.25</v>
      </c>
      <c r="Y23" s="68">
        <v>6726.64</v>
      </c>
      <c r="Z23" s="67">
        <v>37896.36</v>
      </c>
      <c r="AA23" s="68">
        <v>7016.56</v>
      </c>
      <c r="AB23" s="73">
        <v>423263.35</v>
      </c>
      <c r="AC23" s="74">
        <v>80899.3</v>
      </c>
    </row>
    <row r="24" spans="1:29" ht="12.75">
      <c r="A24" s="34" t="s">
        <v>10</v>
      </c>
      <c r="B24" s="67">
        <v>10184.86</v>
      </c>
      <c r="C24" s="68">
        <v>2076.03</v>
      </c>
      <c r="D24" s="67">
        <v>10257.89</v>
      </c>
      <c r="E24" s="68">
        <v>1939.71</v>
      </c>
      <c r="F24" s="67">
        <v>10283.81</v>
      </c>
      <c r="G24" s="68">
        <v>2061.28</v>
      </c>
      <c r="H24" s="67">
        <v>10380.4</v>
      </c>
      <c r="I24" s="68">
        <v>1996.45</v>
      </c>
      <c r="J24" s="67">
        <v>10505.27</v>
      </c>
      <c r="K24" s="68">
        <v>2069.96</v>
      </c>
      <c r="L24" s="67">
        <v>10608.93</v>
      </c>
      <c r="M24" s="68">
        <v>2005.5</v>
      </c>
      <c r="N24" s="73">
        <v>62221.16</v>
      </c>
      <c r="O24" s="84">
        <v>12148.93</v>
      </c>
      <c r="P24" s="67">
        <v>10752.65</v>
      </c>
      <c r="Q24" s="68">
        <v>2082.19</v>
      </c>
      <c r="R24" s="67">
        <v>10875.16</v>
      </c>
      <c r="S24" s="68">
        <v>2087.45</v>
      </c>
      <c r="T24" s="67">
        <v>11049.5</v>
      </c>
      <c r="U24" s="68">
        <v>2034.33</v>
      </c>
      <c r="V24" s="67">
        <v>11162.59</v>
      </c>
      <c r="W24" s="68">
        <v>2104.67</v>
      </c>
      <c r="X24" s="67">
        <v>11332.22</v>
      </c>
      <c r="Y24" s="68">
        <v>2049.1</v>
      </c>
      <c r="Z24" s="67">
        <v>11544.25</v>
      </c>
      <c r="AA24" s="68">
        <v>2137.43</v>
      </c>
      <c r="AB24" s="73">
        <v>128937.53</v>
      </c>
      <c r="AC24" s="74">
        <v>24644.1</v>
      </c>
    </row>
    <row r="25" spans="1:29" ht="12.75">
      <c r="A25" s="34" t="s">
        <v>11</v>
      </c>
      <c r="B25" s="67">
        <v>124291.39</v>
      </c>
      <c r="C25" s="68">
        <v>25335.03</v>
      </c>
      <c r="D25" s="67">
        <v>125182.64</v>
      </c>
      <c r="E25" s="68">
        <v>23671.52</v>
      </c>
      <c r="F25" s="67">
        <v>125498.94</v>
      </c>
      <c r="G25" s="68">
        <v>25154.8</v>
      </c>
      <c r="H25" s="67">
        <v>126677.7</v>
      </c>
      <c r="I25" s="68">
        <v>24363.77</v>
      </c>
      <c r="J25" s="67">
        <v>128201.56</v>
      </c>
      <c r="K25" s="68">
        <v>25260.99</v>
      </c>
      <c r="L25" s="67">
        <v>129466.56</v>
      </c>
      <c r="M25" s="68">
        <v>24474.53</v>
      </c>
      <c r="N25" s="73">
        <v>759318.79</v>
      </c>
      <c r="O25" s="84">
        <v>148260.64</v>
      </c>
      <c r="P25" s="67">
        <v>131220.43</v>
      </c>
      <c r="Q25" s="68">
        <v>25410.02</v>
      </c>
      <c r="R25" s="67">
        <v>132715.45</v>
      </c>
      <c r="S25" s="68">
        <v>25474.09</v>
      </c>
      <c r="T25" s="67">
        <v>134843.08</v>
      </c>
      <c r="U25" s="68">
        <v>24825.91</v>
      </c>
      <c r="V25" s="67">
        <v>136223.09</v>
      </c>
      <c r="W25" s="68">
        <v>25684.6</v>
      </c>
      <c r="X25" s="67">
        <v>138293.22</v>
      </c>
      <c r="Y25" s="68">
        <v>25006.42</v>
      </c>
      <c r="Z25" s="67">
        <v>140880.78</v>
      </c>
      <c r="AA25" s="68">
        <v>26084.17</v>
      </c>
      <c r="AB25" s="73">
        <v>1573494.84</v>
      </c>
      <c r="AC25" s="74">
        <v>300745.85</v>
      </c>
    </row>
    <row r="26" spans="1:29" ht="12.75">
      <c r="A26" s="76" t="s">
        <v>124</v>
      </c>
      <c r="B26" s="96">
        <v>0</v>
      </c>
      <c r="C26" s="97">
        <v>0</v>
      </c>
      <c r="D26" s="96">
        <v>0</v>
      </c>
      <c r="E26" s="97">
        <v>0</v>
      </c>
      <c r="F26" s="96">
        <v>0</v>
      </c>
      <c r="G26" s="97">
        <v>0</v>
      </c>
      <c r="H26" s="96">
        <v>0</v>
      </c>
      <c r="I26" s="97">
        <v>0</v>
      </c>
      <c r="J26" s="96">
        <v>0</v>
      </c>
      <c r="K26" s="97">
        <v>0</v>
      </c>
      <c r="L26" s="96">
        <v>894722.918690193</v>
      </c>
      <c r="M26" s="97">
        <v>34065.72</v>
      </c>
      <c r="N26" s="69">
        <v>894722.918690193</v>
      </c>
      <c r="O26" s="599">
        <v>34065.72</v>
      </c>
      <c r="P26" s="96">
        <v>0</v>
      </c>
      <c r="Q26" s="97">
        <v>0</v>
      </c>
      <c r="R26" s="96">
        <v>0</v>
      </c>
      <c r="S26" s="97">
        <v>0</v>
      </c>
      <c r="T26" s="96">
        <v>0</v>
      </c>
      <c r="U26" s="97">
        <v>0</v>
      </c>
      <c r="V26" s="96">
        <v>0</v>
      </c>
      <c r="W26" s="97">
        <v>0</v>
      </c>
      <c r="X26" s="96">
        <v>0</v>
      </c>
      <c r="Y26" s="97">
        <v>0</v>
      </c>
      <c r="Z26" s="96">
        <v>0</v>
      </c>
      <c r="AA26" s="97">
        <v>0</v>
      </c>
      <c r="AB26" s="69">
        <v>894722.918690193</v>
      </c>
      <c r="AC26" s="70">
        <v>34065.72</v>
      </c>
    </row>
    <row r="27" spans="1:29" ht="13.5" thickBot="1">
      <c r="A27" s="560" t="s">
        <v>7</v>
      </c>
      <c r="B27" s="79"/>
      <c r="C27" s="80"/>
      <c r="D27" s="79"/>
      <c r="E27" s="80"/>
      <c r="F27" s="79"/>
      <c r="G27" s="80"/>
      <c r="H27" s="79"/>
      <c r="I27" s="80"/>
      <c r="J27" s="79"/>
      <c r="K27" s="80"/>
      <c r="L27" s="98">
        <v>894722.918690193</v>
      </c>
      <c r="M27" s="99">
        <v>34065.72</v>
      </c>
      <c r="N27" s="73">
        <v>894722.918690193</v>
      </c>
      <c r="O27" s="84">
        <v>34065.72</v>
      </c>
      <c r="P27" s="79"/>
      <c r="Q27" s="80"/>
      <c r="R27" s="79"/>
      <c r="S27" s="80"/>
      <c r="T27" s="79"/>
      <c r="U27" s="80"/>
      <c r="V27" s="79"/>
      <c r="W27" s="80"/>
      <c r="X27" s="79"/>
      <c r="Y27" s="80"/>
      <c r="Z27" s="79"/>
      <c r="AA27" s="80"/>
      <c r="AB27" s="73">
        <v>894722.918690193</v>
      </c>
      <c r="AC27" s="74">
        <v>34065.72</v>
      </c>
    </row>
    <row r="28" spans="1:29" s="42" customFormat="1" ht="12.75" thickBot="1">
      <c r="A28" s="43" t="s">
        <v>120</v>
      </c>
      <c r="B28" s="71">
        <v>576963.14</v>
      </c>
      <c r="C28" s="72">
        <v>117605.66</v>
      </c>
      <c r="D28" s="71">
        <v>581100.38</v>
      </c>
      <c r="E28" s="72">
        <v>109883.73</v>
      </c>
      <c r="F28" s="71">
        <v>582568.6</v>
      </c>
      <c r="G28" s="72">
        <v>116769.07</v>
      </c>
      <c r="H28" s="71">
        <v>588040.49</v>
      </c>
      <c r="I28" s="72">
        <v>113097.14</v>
      </c>
      <c r="J28" s="71">
        <v>595114.2</v>
      </c>
      <c r="K28" s="72">
        <v>117261.98</v>
      </c>
      <c r="L28" s="71">
        <v>1495709.368690193</v>
      </c>
      <c r="M28" s="72">
        <v>147676.91</v>
      </c>
      <c r="N28" s="597">
        <v>4419496.178690193</v>
      </c>
      <c r="O28" s="598">
        <v>722294.49</v>
      </c>
      <c r="P28" s="71">
        <v>609127.86</v>
      </c>
      <c r="Q28" s="72">
        <v>117953.84</v>
      </c>
      <c r="R28" s="71">
        <v>616067.84</v>
      </c>
      <c r="S28" s="72">
        <v>118251.31</v>
      </c>
      <c r="T28" s="71">
        <v>625944.28</v>
      </c>
      <c r="U28" s="72">
        <v>115242.35</v>
      </c>
      <c r="V28" s="71">
        <v>632350.4</v>
      </c>
      <c r="W28" s="72">
        <v>119228.41</v>
      </c>
      <c r="X28" s="71">
        <v>641959.92</v>
      </c>
      <c r="Y28" s="72">
        <v>116080.39</v>
      </c>
      <c r="Z28" s="71">
        <v>653971.49</v>
      </c>
      <c r="AA28" s="72">
        <v>121083.36</v>
      </c>
      <c r="AB28" s="597">
        <v>8198917.968690194</v>
      </c>
      <c r="AC28" s="598">
        <v>1430134.15</v>
      </c>
    </row>
    <row r="29" spans="1:29" ht="13.5" thickBot="1">
      <c r="A29" s="42"/>
      <c r="B29" s="538"/>
      <c r="C29" s="538"/>
      <c r="D29" s="538"/>
      <c r="E29" s="538"/>
      <c r="F29" s="538"/>
      <c r="G29" s="538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1"/>
      <c r="AC29" s="42"/>
    </row>
    <row r="30" spans="1:29" s="42" customFormat="1" ht="13.5" customHeight="1" thickBot="1">
      <c r="A30" s="40" t="s">
        <v>94</v>
      </c>
      <c r="B30" s="539"/>
      <c r="C30" s="539"/>
      <c r="D30" s="539"/>
      <c r="E30" s="539"/>
      <c r="F30" s="539"/>
      <c r="G30" s="539"/>
      <c r="H30" s="78" t="s">
        <v>132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78" t="str">
        <f>H30</f>
        <v>EN PESOS</v>
      </c>
      <c r="W30" s="39"/>
      <c r="X30" s="39"/>
      <c r="Y30" s="39"/>
      <c r="Z30" s="39"/>
      <c r="AA30" s="39"/>
      <c r="AB30" s="39"/>
      <c r="AC30" s="38"/>
    </row>
    <row r="31" spans="1:29" ht="12.75">
      <c r="A31" s="37" t="s">
        <v>28</v>
      </c>
      <c r="B31" s="541">
        <v>0</v>
      </c>
      <c r="C31" s="542">
        <v>0</v>
      </c>
      <c r="D31" s="541">
        <v>0</v>
      </c>
      <c r="E31" s="542">
        <v>0</v>
      </c>
      <c r="F31" s="541">
        <v>0</v>
      </c>
      <c r="G31" s="542">
        <v>0</v>
      </c>
      <c r="H31" s="541">
        <v>371554.67</v>
      </c>
      <c r="I31" s="542">
        <v>38451.38</v>
      </c>
      <c r="J31" s="541">
        <v>0</v>
      </c>
      <c r="K31" s="542">
        <v>0</v>
      </c>
      <c r="L31" s="541">
        <v>0</v>
      </c>
      <c r="M31" s="542">
        <v>0</v>
      </c>
      <c r="N31" s="543">
        <v>371554.67</v>
      </c>
      <c r="O31" s="544">
        <v>38451.38</v>
      </c>
      <c r="P31" s="541">
        <v>0</v>
      </c>
      <c r="Q31" s="542">
        <v>0</v>
      </c>
      <c r="R31" s="541">
        <v>378758.86</v>
      </c>
      <c r="S31" s="542">
        <v>31574.41</v>
      </c>
      <c r="T31" s="541">
        <v>0</v>
      </c>
      <c r="U31" s="542">
        <v>0</v>
      </c>
      <c r="V31" s="541">
        <v>0</v>
      </c>
      <c r="W31" s="542">
        <v>0</v>
      </c>
      <c r="X31" s="541">
        <v>0</v>
      </c>
      <c r="Y31" s="542">
        <v>0</v>
      </c>
      <c r="Z31" s="541">
        <v>2136936.55</v>
      </c>
      <c r="AA31" s="542">
        <v>324336.13</v>
      </c>
      <c r="AB31" s="543">
        <v>2887250.08</v>
      </c>
      <c r="AC31" s="544">
        <v>394361.92</v>
      </c>
    </row>
    <row r="32" spans="1:29" ht="12.75">
      <c r="A32" s="34" t="s">
        <v>1</v>
      </c>
      <c r="B32" s="79"/>
      <c r="C32" s="80"/>
      <c r="D32" s="79"/>
      <c r="E32" s="80"/>
      <c r="F32" s="79"/>
      <c r="G32" s="80"/>
      <c r="H32" s="545">
        <v>371554.67</v>
      </c>
      <c r="I32" s="546">
        <v>38451.38</v>
      </c>
      <c r="J32" s="79"/>
      <c r="K32" s="80"/>
      <c r="L32" s="79"/>
      <c r="M32" s="80"/>
      <c r="N32" s="547">
        <v>371554.67</v>
      </c>
      <c r="O32" s="84">
        <v>38451.38</v>
      </c>
      <c r="P32" s="79"/>
      <c r="Q32" s="80"/>
      <c r="R32" s="545">
        <v>378758.86</v>
      </c>
      <c r="S32" s="546">
        <v>31574.41</v>
      </c>
      <c r="T32" s="79"/>
      <c r="U32" s="80"/>
      <c r="V32" s="79"/>
      <c r="W32" s="80"/>
      <c r="X32" s="79"/>
      <c r="Y32" s="80"/>
      <c r="Z32" s="545">
        <v>2136936.55</v>
      </c>
      <c r="AA32" s="546">
        <v>324336.13</v>
      </c>
      <c r="AB32" s="547">
        <v>2887250.08</v>
      </c>
      <c r="AC32" s="84">
        <v>394361.92</v>
      </c>
    </row>
    <row r="33" spans="1:30" ht="12.75">
      <c r="A33" s="33" t="s">
        <v>125</v>
      </c>
      <c r="B33" s="548">
        <v>1174936.7</v>
      </c>
      <c r="C33" s="549">
        <v>409316.05</v>
      </c>
      <c r="D33" s="548">
        <v>1186686.08</v>
      </c>
      <c r="E33" s="549">
        <v>397566.65</v>
      </c>
      <c r="F33" s="548">
        <v>1198552.93</v>
      </c>
      <c r="G33" s="549">
        <v>385699.8</v>
      </c>
      <c r="H33" s="548">
        <v>1210538.45</v>
      </c>
      <c r="I33" s="549">
        <v>373714.25</v>
      </c>
      <c r="J33" s="548">
        <v>1222643.84</v>
      </c>
      <c r="K33" s="549">
        <v>361608.88</v>
      </c>
      <c r="L33" s="548">
        <v>1234870.29</v>
      </c>
      <c r="M33" s="549">
        <v>349382.42</v>
      </c>
      <c r="N33" s="548">
        <v>7228228.29</v>
      </c>
      <c r="O33" s="549">
        <v>2277288.05</v>
      </c>
      <c r="P33" s="548">
        <v>1247219</v>
      </c>
      <c r="Q33" s="549">
        <v>337033.72</v>
      </c>
      <c r="R33" s="548">
        <v>1259691.21</v>
      </c>
      <c r="S33" s="549">
        <v>324561.55</v>
      </c>
      <c r="T33" s="548">
        <v>1272288.09</v>
      </c>
      <c r="U33" s="549">
        <v>311964.65</v>
      </c>
      <c r="V33" s="548">
        <v>1285010.97</v>
      </c>
      <c r="W33" s="549">
        <v>299241.74</v>
      </c>
      <c r="X33" s="548">
        <v>1297861.09</v>
      </c>
      <c r="Y33" s="549">
        <v>286391.67</v>
      </c>
      <c r="Z33" s="548">
        <v>1310839.71</v>
      </c>
      <c r="AA33" s="549">
        <v>273413.04</v>
      </c>
      <c r="AB33" s="548">
        <v>14901138.36</v>
      </c>
      <c r="AC33" s="549">
        <v>4109894.42</v>
      </c>
      <c r="AD33" s="13"/>
    </row>
    <row r="34" spans="1:29" ht="12.75">
      <c r="A34" s="34" t="s">
        <v>1</v>
      </c>
      <c r="B34" s="545">
        <v>119934.2</v>
      </c>
      <c r="C34" s="546">
        <v>41718.98</v>
      </c>
      <c r="D34" s="545">
        <v>121133.54</v>
      </c>
      <c r="E34" s="546">
        <v>40519.64</v>
      </c>
      <c r="F34" s="545">
        <v>122344.87</v>
      </c>
      <c r="G34" s="546">
        <v>39308.3</v>
      </c>
      <c r="H34" s="545">
        <v>123568.32</v>
      </c>
      <c r="I34" s="546">
        <v>38084.85</v>
      </c>
      <c r="J34" s="545">
        <v>124804.01</v>
      </c>
      <c r="K34" s="546">
        <v>36849.17</v>
      </c>
      <c r="L34" s="545">
        <v>126052.05</v>
      </c>
      <c r="M34" s="546">
        <v>35601.13</v>
      </c>
      <c r="N34" s="547">
        <v>737836.99</v>
      </c>
      <c r="O34" s="84">
        <v>232082.07</v>
      </c>
      <c r="P34" s="545">
        <v>127312.57</v>
      </c>
      <c r="Q34" s="546">
        <v>34340.61</v>
      </c>
      <c r="R34" s="545">
        <v>128585.69</v>
      </c>
      <c r="S34" s="546">
        <v>33067.48</v>
      </c>
      <c r="T34" s="545">
        <v>129871.55</v>
      </c>
      <c r="U34" s="546">
        <v>31781.63</v>
      </c>
      <c r="V34" s="545">
        <v>131170.26</v>
      </c>
      <c r="W34" s="546">
        <v>30482.91</v>
      </c>
      <c r="X34" s="545">
        <v>132481.97</v>
      </c>
      <c r="Y34" s="546">
        <v>29171.21</v>
      </c>
      <c r="Z34" s="545">
        <v>133806.79</v>
      </c>
      <c r="AA34" s="546">
        <v>27846.39</v>
      </c>
      <c r="AB34" s="547">
        <v>1521065.82</v>
      </c>
      <c r="AC34" s="84">
        <v>418772.3</v>
      </c>
    </row>
    <row r="35" spans="1:29" ht="12.75">
      <c r="A35" s="34" t="s">
        <v>21</v>
      </c>
      <c r="B35" s="545">
        <v>74090.61</v>
      </c>
      <c r="C35" s="546">
        <v>25772.34</v>
      </c>
      <c r="D35" s="545">
        <v>74831.52</v>
      </c>
      <c r="E35" s="546">
        <v>25031.43</v>
      </c>
      <c r="F35" s="545">
        <v>75579.83</v>
      </c>
      <c r="G35" s="546">
        <v>24283.12</v>
      </c>
      <c r="H35" s="545">
        <v>76335.63</v>
      </c>
      <c r="I35" s="546">
        <v>23527.32</v>
      </c>
      <c r="J35" s="545">
        <v>77098.99</v>
      </c>
      <c r="K35" s="546">
        <v>22763.96</v>
      </c>
      <c r="L35" s="545">
        <v>77869.98</v>
      </c>
      <c r="M35" s="546">
        <v>21992.97</v>
      </c>
      <c r="N35" s="547">
        <v>455806.56</v>
      </c>
      <c r="O35" s="84">
        <v>143371.14</v>
      </c>
      <c r="P35" s="545">
        <v>78648.68</v>
      </c>
      <c r="Q35" s="546">
        <v>21214.27</v>
      </c>
      <c r="R35" s="545">
        <v>79435.17</v>
      </c>
      <c r="S35" s="546">
        <v>20427.79</v>
      </c>
      <c r="T35" s="545">
        <v>80229.52</v>
      </c>
      <c r="U35" s="546">
        <v>19633.44</v>
      </c>
      <c r="V35" s="545">
        <v>81031.81</v>
      </c>
      <c r="W35" s="546">
        <v>18831.14</v>
      </c>
      <c r="X35" s="545">
        <v>81842.13</v>
      </c>
      <c r="Y35" s="546">
        <v>18020.82</v>
      </c>
      <c r="Z35" s="545">
        <v>82660.55</v>
      </c>
      <c r="AA35" s="546">
        <v>17202.4</v>
      </c>
      <c r="AB35" s="547">
        <v>939654.42</v>
      </c>
      <c r="AC35" s="84">
        <v>258701</v>
      </c>
    </row>
    <row r="36" spans="1:29" ht="12.75">
      <c r="A36" s="34" t="s">
        <v>22</v>
      </c>
      <c r="B36" s="545">
        <v>28448.04</v>
      </c>
      <c r="C36" s="546">
        <v>9895.62</v>
      </c>
      <c r="D36" s="545">
        <v>28732.52</v>
      </c>
      <c r="E36" s="546">
        <v>9611.14</v>
      </c>
      <c r="F36" s="545">
        <v>29019.85</v>
      </c>
      <c r="G36" s="546">
        <v>9323.81</v>
      </c>
      <c r="H36" s="545">
        <v>29310.04</v>
      </c>
      <c r="I36" s="546">
        <v>9033.62</v>
      </c>
      <c r="J36" s="545">
        <v>29603.14</v>
      </c>
      <c r="K36" s="546">
        <v>8740.52</v>
      </c>
      <c r="L36" s="545">
        <v>29899.18</v>
      </c>
      <c r="M36" s="546">
        <v>8444.48</v>
      </c>
      <c r="N36" s="547">
        <v>175012.77</v>
      </c>
      <c r="O36" s="84">
        <v>55049.19</v>
      </c>
      <c r="P36" s="545">
        <v>30198.17</v>
      </c>
      <c r="Q36" s="546">
        <v>8145.49</v>
      </c>
      <c r="R36" s="545">
        <v>30500.15</v>
      </c>
      <c r="S36" s="546">
        <v>7843.51</v>
      </c>
      <c r="T36" s="545">
        <v>30805.15</v>
      </c>
      <c r="U36" s="546">
        <v>7538.51</v>
      </c>
      <c r="V36" s="545">
        <v>31113.2</v>
      </c>
      <c r="W36" s="546">
        <v>7230.46</v>
      </c>
      <c r="X36" s="545">
        <v>31424.33</v>
      </c>
      <c r="Y36" s="546">
        <v>6919.33</v>
      </c>
      <c r="Z36" s="545">
        <v>31738.58</v>
      </c>
      <c r="AA36" s="546">
        <v>6605.08</v>
      </c>
      <c r="AB36" s="547">
        <v>360792.35</v>
      </c>
      <c r="AC36" s="84">
        <v>99331.57</v>
      </c>
    </row>
    <row r="37" spans="1:29" ht="12.75">
      <c r="A37" s="34" t="s">
        <v>126</v>
      </c>
      <c r="B37" s="545">
        <v>141824.87</v>
      </c>
      <c r="C37" s="546">
        <v>49333.63</v>
      </c>
      <c r="D37" s="545">
        <v>143243.12</v>
      </c>
      <c r="E37" s="546">
        <v>47915.38</v>
      </c>
      <c r="F37" s="545">
        <v>144675.55</v>
      </c>
      <c r="G37" s="546">
        <v>46482.95</v>
      </c>
      <c r="H37" s="545">
        <v>146122.31</v>
      </c>
      <c r="I37" s="546">
        <v>45036.19</v>
      </c>
      <c r="J37" s="545">
        <v>147583.53</v>
      </c>
      <c r="K37" s="546">
        <v>43574.97</v>
      </c>
      <c r="L37" s="545">
        <v>149059.37</v>
      </c>
      <c r="M37" s="546">
        <v>42099.13</v>
      </c>
      <c r="N37" s="547">
        <v>872508.75</v>
      </c>
      <c r="O37" s="84">
        <v>274442.25</v>
      </c>
      <c r="P37" s="545">
        <v>150549.96</v>
      </c>
      <c r="Q37" s="546">
        <v>40608.54</v>
      </c>
      <c r="R37" s="545">
        <v>152055.46</v>
      </c>
      <c r="S37" s="546">
        <v>39103.04</v>
      </c>
      <c r="T37" s="545">
        <v>153576.01</v>
      </c>
      <c r="U37" s="546">
        <v>37582.49</v>
      </c>
      <c r="V37" s="545">
        <v>155111.77</v>
      </c>
      <c r="W37" s="546">
        <v>36046.73</v>
      </c>
      <c r="X37" s="545">
        <v>156662.89</v>
      </c>
      <c r="Y37" s="546">
        <v>34495.61</v>
      </c>
      <c r="Z37" s="545">
        <v>158229.52</v>
      </c>
      <c r="AA37" s="546">
        <v>32928.98</v>
      </c>
      <c r="AB37" s="547">
        <v>1798694.36</v>
      </c>
      <c r="AC37" s="84">
        <v>495207.64</v>
      </c>
    </row>
    <row r="38" spans="1:29" ht="12.75">
      <c r="A38" s="34" t="s">
        <v>127</v>
      </c>
      <c r="B38" s="545">
        <v>18223.43</v>
      </c>
      <c r="C38" s="546">
        <v>6339</v>
      </c>
      <c r="D38" s="545">
        <v>18405.67</v>
      </c>
      <c r="E38" s="546">
        <v>6156.77</v>
      </c>
      <c r="F38" s="545">
        <v>18589.72</v>
      </c>
      <c r="G38" s="546">
        <v>5972.71</v>
      </c>
      <c r="H38" s="545">
        <v>18775.62</v>
      </c>
      <c r="I38" s="546">
        <v>5786.81</v>
      </c>
      <c r="J38" s="545">
        <v>18963.38</v>
      </c>
      <c r="K38" s="546">
        <v>5599.06</v>
      </c>
      <c r="L38" s="545">
        <v>19153.01</v>
      </c>
      <c r="M38" s="546">
        <v>5409.42</v>
      </c>
      <c r="N38" s="547">
        <v>112110.83</v>
      </c>
      <c r="O38" s="84">
        <v>35263.77</v>
      </c>
      <c r="P38" s="545">
        <v>19344.54</v>
      </c>
      <c r="Q38" s="546">
        <v>5217.89</v>
      </c>
      <c r="R38" s="545">
        <v>19537.99</v>
      </c>
      <c r="S38" s="546">
        <v>5024.45</v>
      </c>
      <c r="T38" s="545">
        <v>19733.37</v>
      </c>
      <c r="U38" s="546">
        <v>4829.07</v>
      </c>
      <c r="V38" s="545">
        <v>19930.7</v>
      </c>
      <c r="W38" s="546">
        <v>4631.73</v>
      </c>
      <c r="X38" s="545">
        <v>20130.01</v>
      </c>
      <c r="Y38" s="546">
        <v>4432.43</v>
      </c>
      <c r="Z38" s="545">
        <v>20331.31</v>
      </c>
      <c r="AA38" s="546">
        <v>4231.13</v>
      </c>
      <c r="AB38" s="547">
        <v>231118.75</v>
      </c>
      <c r="AC38" s="84">
        <v>63630.47</v>
      </c>
    </row>
    <row r="39" spans="1:29" ht="12.75">
      <c r="A39" s="34" t="s">
        <v>14</v>
      </c>
      <c r="B39" s="545">
        <v>20734.88</v>
      </c>
      <c r="C39" s="546">
        <v>7212.61</v>
      </c>
      <c r="D39" s="545">
        <v>20942.23</v>
      </c>
      <c r="E39" s="546">
        <v>7005.26</v>
      </c>
      <c r="F39" s="545">
        <v>21151.65</v>
      </c>
      <c r="G39" s="546">
        <v>6795.84</v>
      </c>
      <c r="H39" s="545">
        <v>21363.17</v>
      </c>
      <c r="I39" s="546">
        <v>6584.32</v>
      </c>
      <c r="J39" s="545">
        <v>21576.8</v>
      </c>
      <c r="K39" s="546">
        <v>6370.69</v>
      </c>
      <c r="L39" s="545">
        <v>21792.57</v>
      </c>
      <c r="M39" s="546">
        <v>6154.92</v>
      </c>
      <c r="N39" s="547">
        <v>127561.3</v>
      </c>
      <c r="O39" s="84">
        <v>40123.64</v>
      </c>
      <c r="P39" s="545">
        <v>22010.5</v>
      </c>
      <c r="Q39" s="546">
        <v>5936.99</v>
      </c>
      <c r="R39" s="545">
        <v>22230.6</v>
      </c>
      <c r="S39" s="546">
        <v>5716.89</v>
      </c>
      <c r="T39" s="545">
        <v>22452.91</v>
      </c>
      <c r="U39" s="546">
        <v>5494.58</v>
      </c>
      <c r="V39" s="545">
        <v>22677.44</v>
      </c>
      <c r="W39" s="546">
        <v>5270.05</v>
      </c>
      <c r="X39" s="545">
        <v>22904.21</v>
      </c>
      <c r="Y39" s="546">
        <v>5043.28</v>
      </c>
      <c r="Z39" s="545">
        <v>23133.25</v>
      </c>
      <c r="AA39" s="546">
        <v>4814.24</v>
      </c>
      <c r="AB39" s="547">
        <v>262970.21</v>
      </c>
      <c r="AC39" s="84">
        <v>72399.67</v>
      </c>
    </row>
    <row r="40" spans="1:29" ht="12.75">
      <c r="A40" s="34" t="s">
        <v>13</v>
      </c>
      <c r="B40" s="545">
        <v>108148.81</v>
      </c>
      <c r="C40" s="546">
        <v>37619.45</v>
      </c>
      <c r="D40" s="545">
        <v>109230.3</v>
      </c>
      <c r="E40" s="546">
        <v>36537.96</v>
      </c>
      <c r="F40" s="545">
        <v>110322.6</v>
      </c>
      <c r="G40" s="546">
        <v>35445.65</v>
      </c>
      <c r="H40" s="545">
        <v>111425.82</v>
      </c>
      <c r="I40" s="546">
        <v>34342.43</v>
      </c>
      <c r="J40" s="545">
        <v>112540.08</v>
      </c>
      <c r="K40" s="546">
        <v>33228.17</v>
      </c>
      <c r="L40" s="545">
        <v>113665.48</v>
      </c>
      <c r="M40" s="546">
        <v>32102.77</v>
      </c>
      <c r="N40" s="547">
        <v>665333.09</v>
      </c>
      <c r="O40" s="84">
        <v>209276.43</v>
      </c>
      <c r="P40" s="545">
        <v>114802.14</v>
      </c>
      <c r="Q40" s="546">
        <v>30966.11</v>
      </c>
      <c r="R40" s="545">
        <v>115950.16</v>
      </c>
      <c r="S40" s="546">
        <v>29818.09</v>
      </c>
      <c r="T40" s="545">
        <v>117109.66</v>
      </c>
      <c r="U40" s="546">
        <v>28658.59</v>
      </c>
      <c r="V40" s="545">
        <v>118280.76</v>
      </c>
      <c r="W40" s="546">
        <v>27487.49</v>
      </c>
      <c r="X40" s="545">
        <v>119463.57</v>
      </c>
      <c r="Y40" s="546">
        <v>26304.69</v>
      </c>
      <c r="Z40" s="545">
        <v>120658.2</v>
      </c>
      <c r="AA40" s="546">
        <v>25110.05</v>
      </c>
      <c r="AB40" s="547">
        <v>1371597.58</v>
      </c>
      <c r="AC40" s="84">
        <v>377621.45</v>
      </c>
    </row>
    <row r="41" spans="1:29" ht="12.75">
      <c r="A41" s="34" t="s">
        <v>9</v>
      </c>
      <c r="B41" s="545">
        <v>35696.26</v>
      </c>
      <c r="C41" s="546">
        <v>12416.91</v>
      </c>
      <c r="D41" s="545">
        <v>36053.22</v>
      </c>
      <c r="E41" s="546">
        <v>12059.94</v>
      </c>
      <c r="F41" s="545">
        <v>36413.75</v>
      </c>
      <c r="G41" s="546">
        <v>11699.41</v>
      </c>
      <c r="H41" s="545">
        <v>36777.89</v>
      </c>
      <c r="I41" s="546">
        <v>11335.27</v>
      </c>
      <c r="J41" s="545">
        <v>37145.67</v>
      </c>
      <c r="K41" s="546">
        <v>10967.49</v>
      </c>
      <c r="L41" s="545">
        <v>37517.13</v>
      </c>
      <c r="M41" s="546">
        <v>10596.04</v>
      </c>
      <c r="N41" s="547">
        <v>219603.92</v>
      </c>
      <c r="O41" s="84">
        <v>69075.06</v>
      </c>
      <c r="P41" s="545">
        <v>37892.3</v>
      </c>
      <c r="Q41" s="546">
        <v>10220.87</v>
      </c>
      <c r="R41" s="545">
        <v>38271.22</v>
      </c>
      <c r="S41" s="546">
        <v>9841.94</v>
      </c>
      <c r="T41" s="545">
        <v>38653.93</v>
      </c>
      <c r="U41" s="546">
        <v>9459.23</v>
      </c>
      <c r="V41" s="545">
        <v>39040.47</v>
      </c>
      <c r="W41" s="546">
        <v>9072.69</v>
      </c>
      <c r="X41" s="545">
        <v>39430.88</v>
      </c>
      <c r="Y41" s="546">
        <v>8682.29</v>
      </c>
      <c r="Z41" s="545">
        <v>39825.19</v>
      </c>
      <c r="AA41" s="546">
        <v>8287.98</v>
      </c>
      <c r="AB41" s="547">
        <v>452717.91</v>
      </c>
      <c r="AC41" s="84">
        <v>124640.06</v>
      </c>
    </row>
    <row r="42" spans="1:29" ht="12.75">
      <c r="A42" s="34" t="s">
        <v>128</v>
      </c>
      <c r="B42" s="545">
        <v>107088.78</v>
      </c>
      <c r="C42" s="546">
        <v>37250.72</v>
      </c>
      <c r="D42" s="545">
        <v>108159.67</v>
      </c>
      <c r="E42" s="546">
        <v>36179.83</v>
      </c>
      <c r="F42" s="545">
        <v>109241.26</v>
      </c>
      <c r="G42" s="546">
        <v>35098.23</v>
      </c>
      <c r="H42" s="545">
        <v>110333.68</v>
      </c>
      <c r="I42" s="546">
        <v>34005.82</v>
      </c>
      <c r="J42" s="545">
        <v>111437.01</v>
      </c>
      <c r="K42" s="546">
        <v>32902.48</v>
      </c>
      <c r="L42" s="545">
        <v>112551.38</v>
      </c>
      <c r="M42" s="546">
        <v>31788.11</v>
      </c>
      <c r="N42" s="547">
        <v>658811.78</v>
      </c>
      <c r="O42" s="84">
        <v>207225.19</v>
      </c>
      <c r="P42" s="545">
        <v>113676.9</v>
      </c>
      <c r="Q42" s="546">
        <v>30662.6</v>
      </c>
      <c r="R42" s="545">
        <v>114813.67</v>
      </c>
      <c r="S42" s="546">
        <v>29525.83</v>
      </c>
      <c r="T42" s="545">
        <v>115961.8</v>
      </c>
      <c r="U42" s="546">
        <v>28377.69</v>
      </c>
      <c r="V42" s="545">
        <v>117121.42</v>
      </c>
      <c r="W42" s="546">
        <v>27218.07</v>
      </c>
      <c r="X42" s="545">
        <v>118292.64</v>
      </c>
      <c r="Y42" s="546">
        <v>26046.86</v>
      </c>
      <c r="Z42" s="545">
        <v>119475.56</v>
      </c>
      <c r="AA42" s="546">
        <v>24863.93</v>
      </c>
      <c r="AB42" s="547">
        <v>1358153.77</v>
      </c>
      <c r="AC42" s="84">
        <v>373920.17</v>
      </c>
    </row>
    <row r="43" spans="1:29" ht="12.75">
      <c r="A43" s="34" t="s">
        <v>84</v>
      </c>
      <c r="B43" s="545">
        <v>118236.32</v>
      </c>
      <c r="C43" s="546">
        <v>41128.38</v>
      </c>
      <c r="D43" s="545">
        <v>119418.68</v>
      </c>
      <c r="E43" s="546">
        <v>39946.01</v>
      </c>
      <c r="F43" s="545">
        <v>120612.87</v>
      </c>
      <c r="G43" s="546">
        <v>38751.83</v>
      </c>
      <c r="H43" s="545">
        <v>121819</v>
      </c>
      <c r="I43" s="546">
        <v>37545.7</v>
      </c>
      <c r="J43" s="545">
        <v>123037.19</v>
      </c>
      <c r="K43" s="546">
        <v>36327.51</v>
      </c>
      <c r="L43" s="545">
        <v>124267.56</v>
      </c>
      <c r="M43" s="546">
        <v>35097.13</v>
      </c>
      <c r="N43" s="547">
        <v>727391.62</v>
      </c>
      <c r="O43" s="84">
        <v>228796.56</v>
      </c>
      <c r="P43" s="545">
        <v>125510.23</v>
      </c>
      <c r="Q43" s="546">
        <v>33854.46</v>
      </c>
      <c r="R43" s="545">
        <v>126765.34</v>
      </c>
      <c r="S43" s="546">
        <v>32599.36</v>
      </c>
      <c r="T43" s="545">
        <v>128032.99</v>
      </c>
      <c r="U43" s="546">
        <v>31331.7</v>
      </c>
      <c r="V43" s="545">
        <v>129313.32</v>
      </c>
      <c r="W43" s="546">
        <v>30051.37</v>
      </c>
      <c r="X43" s="545">
        <v>130606.45</v>
      </c>
      <c r="Y43" s="546">
        <v>28758.24</v>
      </c>
      <c r="Z43" s="545">
        <v>131912.52</v>
      </c>
      <c r="AA43" s="546">
        <v>27452.18</v>
      </c>
      <c r="AB43" s="547">
        <v>1499532.47</v>
      </c>
      <c r="AC43" s="84">
        <v>412843.87</v>
      </c>
    </row>
    <row r="44" spans="1:29" ht="12.75">
      <c r="A44" s="34" t="s">
        <v>5</v>
      </c>
      <c r="B44" s="545">
        <v>86860.29</v>
      </c>
      <c r="C44" s="546">
        <v>30214.26</v>
      </c>
      <c r="D44" s="545">
        <v>87728.89</v>
      </c>
      <c r="E44" s="546">
        <v>29345.65</v>
      </c>
      <c r="F44" s="545">
        <v>88606.18</v>
      </c>
      <c r="G44" s="546">
        <v>28468.37</v>
      </c>
      <c r="H44" s="545">
        <v>89492.24</v>
      </c>
      <c r="I44" s="546">
        <v>27582.3</v>
      </c>
      <c r="J44" s="545">
        <v>90387.16</v>
      </c>
      <c r="K44" s="546">
        <v>26687.38</v>
      </c>
      <c r="L44" s="545">
        <v>91291.04</v>
      </c>
      <c r="M44" s="546">
        <v>25783.51</v>
      </c>
      <c r="N44" s="547">
        <v>534365.8</v>
      </c>
      <c r="O44" s="84">
        <v>168081.47</v>
      </c>
      <c r="P44" s="545">
        <v>92203.95</v>
      </c>
      <c r="Q44" s="546">
        <v>24870.6</v>
      </c>
      <c r="R44" s="545">
        <v>93125.99</v>
      </c>
      <c r="S44" s="546">
        <v>23948.56</v>
      </c>
      <c r="T44" s="545">
        <v>94057.25</v>
      </c>
      <c r="U44" s="546">
        <v>23017.3</v>
      </c>
      <c r="V44" s="545">
        <v>94997.82</v>
      </c>
      <c r="W44" s="546">
        <v>22076.73</v>
      </c>
      <c r="X44" s="545">
        <v>95947.8</v>
      </c>
      <c r="Y44" s="546">
        <v>21126.75</v>
      </c>
      <c r="Z44" s="545">
        <v>96907.27</v>
      </c>
      <c r="AA44" s="546">
        <v>20167.27</v>
      </c>
      <c r="AB44" s="547">
        <v>1101605.88</v>
      </c>
      <c r="AC44" s="84">
        <v>303288.68</v>
      </c>
    </row>
    <row r="45" spans="1:29" ht="12.75">
      <c r="A45" s="34" t="s">
        <v>7</v>
      </c>
      <c r="B45" s="545">
        <v>44927.04</v>
      </c>
      <c r="C45" s="546">
        <v>15627.82</v>
      </c>
      <c r="D45" s="545">
        <v>45376.31</v>
      </c>
      <c r="E45" s="546">
        <v>15178.55</v>
      </c>
      <c r="F45" s="545">
        <v>45830.07</v>
      </c>
      <c r="G45" s="546">
        <v>14724.79</v>
      </c>
      <c r="H45" s="545">
        <v>46288.37</v>
      </c>
      <c r="I45" s="546">
        <v>14266.49</v>
      </c>
      <c r="J45" s="545">
        <v>46751.26</v>
      </c>
      <c r="K45" s="546">
        <v>13803.6</v>
      </c>
      <c r="L45" s="545">
        <v>47218.77</v>
      </c>
      <c r="M45" s="546">
        <v>13336.09</v>
      </c>
      <c r="N45" s="547">
        <v>276391.82</v>
      </c>
      <c r="O45" s="84">
        <v>86937.34</v>
      </c>
      <c r="P45" s="545">
        <v>47690.96</v>
      </c>
      <c r="Q45" s="546">
        <v>12863.9</v>
      </c>
      <c r="R45" s="545">
        <v>48167.87</v>
      </c>
      <c r="S45" s="546">
        <v>12386.99</v>
      </c>
      <c r="T45" s="545">
        <v>48649.54</v>
      </c>
      <c r="U45" s="546">
        <v>11905.32</v>
      </c>
      <c r="V45" s="545">
        <v>49136.04</v>
      </c>
      <c r="W45" s="546">
        <v>11418.82</v>
      </c>
      <c r="X45" s="545">
        <v>49627.4</v>
      </c>
      <c r="Y45" s="546">
        <v>10927.46</v>
      </c>
      <c r="Z45" s="545">
        <v>50123.68</v>
      </c>
      <c r="AA45" s="546">
        <v>10431.19</v>
      </c>
      <c r="AB45" s="547">
        <v>569787.31</v>
      </c>
      <c r="AC45" s="84">
        <v>156871.02</v>
      </c>
    </row>
    <row r="46" spans="1:29" ht="12.75">
      <c r="A46" s="34" t="s">
        <v>105</v>
      </c>
      <c r="B46" s="550">
        <v>83926.98</v>
      </c>
      <c r="C46" s="546">
        <v>29193.91</v>
      </c>
      <c r="D46" s="550">
        <v>84766.25</v>
      </c>
      <c r="E46" s="546">
        <v>28354.64</v>
      </c>
      <c r="F46" s="550">
        <v>85613.92</v>
      </c>
      <c r="G46" s="546">
        <v>27506.98</v>
      </c>
      <c r="H46" s="550">
        <v>86470.05</v>
      </c>
      <c r="I46" s="546">
        <v>26650.84</v>
      </c>
      <c r="J46" s="550">
        <v>87334.75</v>
      </c>
      <c r="K46" s="546">
        <v>25786.14</v>
      </c>
      <c r="L46" s="550">
        <v>88208.1</v>
      </c>
      <c r="M46" s="546">
        <v>24912.79</v>
      </c>
      <c r="N46" s="547">
        <v>516320.05</v>
      </c>
      <c r="O46" s="84">
        <v>162405.3</v>
      </c>
      <c r="P46" s="550">
        <v>89090.18</v>
      </c>
      <c r="Q46" s="546">
        <v>24030.71</v>
      </c>
      <c r="R46" s="550">
        <v>89981.09</v>
      </c>
      <c r="S46" s="546">
        <v>23139.81</v>
      </c>
      <c r="T46" s="550">
        <v>90880.9</v>
      </c>
      <c r="U46" s="546">
        <v>22240</v>
      </c>
      <c r="V46" s="550">
        <v>91789.71</v>
      </c>
      <c r="W46" s="546">
        <v>21331.19</v>
      </c>
      <c r="X46" s="550">
        <v>92707.6</v>
      </c>
      <c r="Y46" s="546">
        <v>20413.29</v>
      </c>
      <c r="Z46" s="550">
        <v>93634.68</v>
      </c>
      <c r="AA46" s="546">
        <v>19486.21</v>
      </c>
      <c r="AB46" s="547">
        <v>1064404.21</v>
      </c>
      <c r="AC46" s="84">
        <v>293046.51</v>
      </c>
    </row>
    <row r="47" spans="1:29" ht="12.75">
      <c r="A47" s="34" t="s">
        <v>4</v>
      </c>
      <c r="B47" s="550">
        <v>54883</v>
      </c>
      <c r="C47" s="546">
        <v>19090.99</v>
      </c>
      <c r="D47" s="550">
        <v>55431.83</v>
      </c>
      <c r="E47" s="546">
        <v>18542.16</v>
      </c>
      <c r="F47" s="550">
        <v>55986.15</v>
      </c>
      <c r="G47" s="546">
        <v>17987.84</v>
      </c>
      <c r="H47" s="550">
        <v>56546.01</v>
      </c>
      <c r="I47" s="546">
        <v>17427.98</v>
      </c>
      <c r="J47" s="550">
        <v>57111.47</v>
      </c>
      <c r="K47" s="546">
        <v>16862.52</v>
      </c>
      <c r="L47" s="550">
        <v>57682.58</v>
      </c>
      <c r="M47" s="546">
        <v>16291.41</v>
      </c>
      <c r="N47" s="547">
        <v>337641.04</v>
      </c>
      <c r="O47" s="84">
        <v>106202.9</v>
      </c>
      <c r="P47" s="550">
        <v>58259.41</v>
      </c>
      <c r="Q47" s="546">
        <v>15714.58</v>
      </c>
      <c r="R47" s="550">
        <v>58842</v>
      </c>
      <c r="S47" s="546">
        <v>15131.99</v>
      </c>
      <c r="T47" s="550">
        <v>59430.42</v>
      </c>
      <c r="U47" s="546">
        <v>14543.57</v>
      </c>
      <c r="V47" s="550">
        <v>60024.73</v>
      </c>
      <c r="W47" s="546">
        <v>13949.26</v>
      </c>
      <c r="X47" s="550">
        <v>60624.98</v>
      </c>
      <c r="Y47" s="546">
        <v>13349.02</v>
      </c>
      <c r="Z47" s="550">
        <v>61231.23</v>
      </c>
      <c r="AA47" s="546">
        <v>12742.77</v>
      </c>
      <c r="AB47" s="547">
        <v>696053.81</v>
      </c>
      <c r="AC47" s="84">
        <v>191634.09</v>
      </c>
    </row>
    <row r="48" spans="1:29" ht="12.75">
      <c r="A48" s="34" t="s">
        <v>10</v>
      </c>
      <c r="B48" s="545">
        <v>45669.59</v>
      </c>
      <c r="C48" s="546">
        <v>16501.68</v>
      </c>
      <c r="D48" s="545">
        <v>46126.29</v>
      </c>
      <c r="E48" s="546">
        <v>16044.98</v>
      </c>
      <c r="F48" s="545">
        <v>46587.55</v>
      </c>
      <c r="G48" s="546">
        <v>15583.72</v>
      </c>
      <c r="H48" s="545">
        <v>47053.43</v>
      </c>
      <c r="I48" s="546">
        <v>15117.84</v>
      </c>
      <c r="J48" s="545">
        <v>47523.96</v>
      </c>
      <c r="K48" s="546">
        <v>14647.31</v>
      </c>
      <c r="L48" s="545">
        <v>47999.2</v>
      </c>
      <c r="M48" s="546">
        <v>14172.07</v>
      </c>
      <c r="N48" s="547">
        <v>280960.02</v>
      </c>
      <c r="O48" s="84">
        <v>92067.6</v>
      </c>
      <c r="P48" s="545">
        <v>48479.19</v>
      </c>
      <c r="Q48" s="546">
        <v>13692.08</v>
      </c>
      <c r="R48" s="545">
        <v>48963.99</v>
      </c>
      <c r="S48" s="546">
        <v>13207.28</v>
      </c>
      <c r="T48" s="545">
        <v>49453.63</v>
      </c>
      <c r="U48" s="546">
        <v>12717.64</v>
      </c>
      <c r="V48" s="545">
        <v>49948.16</v>
      </c>
      <c r="W48" s="546">
        <v>12223.11</v>
      </c>
      <c r="X48" s="545">
        <v>50447.64</v>
      </c>
      <c r="Y48" s="546">
        <v>11723.63</v>
      </c>
      <c r="Z48" s="545">
        <v>50952.12</v>
      </c>
      <c r="AA48" s="546">
        <v>11219.15</v>
      </c>
      <c r="AB48" s="547">
        <v>579204.75</v>
      </c>
      <c r="AC48" s="84">
        <v>166850.49</v>
      </c>
    </row>
    <row r="49" spans="1:29" ht="12.75">
      <c r="A49" s="34" t="s">
        <v>11</v>
      </c>
      <c r="B49" s="545">
        <v>66131.51</v>
      </c>
      <c r="C49" s="546">
        <v>23003.78</v>
      </c>
      <c r="D49" s="545">
        <v>66792.83</v>
      </c>
      <c r="E49" s="546">
        <v>22342.46</v>
      </c>
      <c r="F49" s="545">
        <v>67460.76</v>
      </c>
      <c r="G49" s="546">
        <v>21674.53</v>
      </c>
      <c r="H49" s="545">
        <v>68135.36</v>
      </c>
      <c r="I49" s="546">
        <v>20999.92</v>
      </c>
      <c r="J49" s="545">
        <v>68816.72</v>
      </c>
      <c r="K49" s="546">
        <v>20318.57</v>
      </c>
      <c r="L49" s="545">
        <v>69504.88</v>
      </c>
      <c r="M49" s="546">
        <v>19630.4</v>
      </c>
      <c r="N49" s="547">
        <v>406842.06</v>
      </c>
      <c r="O49" s="84">
        <v>127969.66</v>
      </c>
      <c r="P49" s="545">
        <v>70199.93</v>
      </c>
      <c r="Q49" s="546">
        <v>18935.35</v>
      </c>
      <c r="R49" s="545">
        <v>70901.93</v>
      </c>
      <c r="S49" s="546">
        <v>18233.36</v>
      </c>
      <c r="T49" s="545">
        <v>71610.95</v>
      </c>
      <c r="U49" s="546">
        <v>17524.34</v>
      </c>
      <c r="V49" s="545">
        <v>72327.06</v>
      </c>
      <c r="W49" s="546">
        <v>16808.23</v>
      </c>
      <c r="X49" s="545">
        <v>73050.33</v>
      </c>
      <c r="Y49" s="546">
        <v>16084.96</v>
      </c>
      <c r="Z49" s="545">
        <v>73780.84</v>
      </c>
      <c r="AA49" s="546">
        <v>15354.45</v>
      </c>
      <c r="AB49" s="547">
        <v>838713.1</v>
      </c>
      <c r="AC49" s="84">
        <v>230910.35</v>
      </c>
    </row>
    <row r="50" spans="1:29" ht="12.75">
      <c r="A50" s="34" t="s">
        <v>6</v>
      </c>
      <c r="B50" s="545">
        <v>20112.09</v>
      </c>
      <c r="C50" s="546">
        <v>6995.97</v>
      </c>
      <c r="D50" s="545">
        <v>20313.21</v>
      </c>
      <c r="E50" s="546">
        <v>6794.85</v>
      </c>
      <c r="F50" s="545">
        <v>20516.35</v>
      </c>
      <c r="G50" s="546">
        <v>6591.72</v>
      </c>
      <c r="H50" s="545">
        <v>20721.51</v>
      </c>
      <c r="I50" s="546">
        <v>6386.55</v>
      </c>
      <c r="J50" s="545">
        <v>20928.72</v>
      </c>
      <c r="K50" s="546">
        <v>6179.34</v>
      </c>
      <c r="L50" s="545">
        <v>21138.01</v>
      </c>
      <c r="M50" s="546">
        <v>5970.05</v>
      </c>
      <c r="N50" s="547">
        <v>123729.89</v>
      </c>
      <c r="O50" s="84">
        <v>38918.48</v>
      </c>
      <c r="P50" s="545">
        <v>21349.39</v>
      </c>
      <c r="Q50" s="546">
        <v>5758.67</v>
      </c>
      <c r="R50" s="545">
        <v>21562.89</v>
      </c>
      <c r="S50" s="546">
        <v>5545.18</v>
      </c>
      <c r="T50" s="545">
        <v>21778.51</v>
      </c>
      <c r="U50" s="546">
        <v>5329.55</v>
      </c>
      <c r="V50" s="545">
        <v>21996.3</v>
      </c>
      <c r="W50" s="546">
        <v>5111.76</v>
      </c>
      <c r="X50" s="545">
        <v>22216.26</v>
      </c>
      <c r="Y50" s="546">
        <v>4891.8</v>
      </c>
      <c r="Z50" s="545">
        <v>22438.42</v>
      </c>
      <c r="AA50" s="546">
        <v>4669.64</v>
      </c>
      <c r="AB50" s="547">
        <v>255071.66</v>
      </c>
      <c r="AC50" s="84">
        <v>70225.08</v>
      </c>
    </row>
    <row r="51" spans="1:29" ht="12.75">
      <c r="A51" s="33" t="s">
        <v>27</v>
      </c>
      <c r="B51" s="548">
        <v>106181.9</v>
      </c>
      <c r="C51" s="549">
        <v>18697.71</v>
      </c>
      <c r="D51" s="548">
        <v>106997.58</v>
      </c>
      <c r="E51" s="549">
        <v>17455.75</v>
      </c>
      <c r="F51" s="548">
        <v>107890.05</v>
      </c>
      <c r="G51" s="549">
        <v>18631.98</v>
      </c>
      <c r="H51" s="548">
        <v>108793.57</v>
      </c>
      <c r="I51" s="549">
        <v>18003.1</v>
      </c>
      <c r="J51" s="548">
        <v>109803.08</v>
      </c>
      <c r="K51" s="549">
        <v>18589.31</v>
      </c>
      <c r="L51" s="548">
        <v>110699.26</v>
      </c>
      <c r="M51" s="549">
        <v>17954.51</v>
      </c>
      <c r="N51" s="548">
        <v>650365.44</v>
      </c>
      <c r="O51" s="549">
        <v>109332.36</v>
      </c>
      <c r="P51" s="548">
        <v>111580.8</v>
      </c>
      <c r="Q51" s="549">
        <v>18511.2</v>
      </c>
      <c r="R51" s="548">
        <v>112389.16</v>
      </c>
      <c r="S51" s="549">
        <v>18454.41</v>
      </c>
      <c r="T51" s="548">
        <v>113354.82</v>
      </c>
      <c r="U51" s="549">
        <v>17826.21</v>
      </c>
      <c r="V51" s="548">
        <v>114393.64</v>
      </c>
      <c r="W51" s="549">
        <v>18394.92</v>
      </c>
      <c r="X51" s="548">
        <v>115333.65</v>
      </c>
      <c r="Y51" s="549">
        <v>17758.23</v>
      </c>
      <c r="Z51" s="548">
        <v>116350.55</v>
      </c>
      <c r="AA51" s="549">
        <v>18314.32</v>
      </c>
      <c r="AB51" s="548">
        <v>1333768.06</v>
      </c>
      <c r="AC51" s="549">
        <v>218591.65</v>
      </c>
    </row>
    <row r="52" spans="1:29" ht="12.75">
      <c r="A52" s="34" t="s">
        <v>22</v>
      </c>
      <c r="B52" s="545"/>
      <c r="C52" s="546"/>
      <c r="D52" s="545"/>
      <c r="E52" s="546"/>
      <c r="F52" s="545"/>
      <c r="G52" s="546"/>
      <c r="H52" s="545"/>
      <c r="I52" s="546"/>
      <c r="J52" s="545"/>
      <c r="K52" s="546"/>
      <c r="L52" s="545"/>
      <c r="M52" s="546"/>
      <c r="N52" s="547">
        <v>0</v>
      </c>
      <c r="O52" s="84">
        <v>0</v>
      </c>
      <c r="P52" s="545"/>
      <c r="Q52" s="546"/>
      <c r="R52" s="545"/>
      <c r="S52" s="546"/>
      <c r="T52" s="545"/>
      <c r="U52" s="546"/>
      <c r="V52" s="545"/>
      <c r="W52" s="546"/>
      <c r="X52" s="545"/>
      <c r="Y52" s="546"/>
      <c r="Z52" s="545"/>
      <c r="AA52" s="546"/>
      <c r="AB52" s="547">
        <v>0</v>
      </c>
      <c r="AC52" s="84">
        <v>0</v>
      </c>
    </row>
    <row r="53" spans="1:29" ht="12.75">
      <c r="A53" s="34" t="s">
        <v>128</v>
      </c>
      <c r="B53" s="545">
        <v>99969.48</v>
      </c>
      <c r="C53" s="546">
        <v>17603.76</v>
      </c>
      <c r="D53" s="545">
        <v>100737.43</v>
      </c>
      <c r="E53" s="546">
        <v>16434.46</v>
      </c>
      <c r="F53" s="550">
        <v>101577.7</v>
      </c>
      <c r="G53" s="559">
        <v>17541.87</v>
      </c>
      <c r="H53" s="550">
        <v>102428.34</v>
      </c>
      <c r="I53" s="559">
        <v>16949.78</v>
      </c>
      <c r="J53" s="550">
        <v>103378.8</v>
      </c>
      <c r="K53" s="559">
        <v>17501.7</v>
      </c>
      <c r="L53" s="550">
        <v>104222.54</v>
      </c>
      <c r="M53" s="559">
        <v>16904.04</v>
      </c>
      <c r="N53" s="547">
        <v>612314.29</v>
      </c>
      <c r="O53" s="84">
        <v>102935.61</v>
      </c>
      <c r="P53" s="545">
        <v>105052.5</v>
      </c>
      <c r="Q53" s="546">
        <v>17428.16</v>
      </c>
      <c r="R53" s="545">
        <v>105813.57</v>
      </c>
      <c r="S53" s="546">
        <v>17374.68</v>
      </c>
      <c r="T53" s="545">
        <v>106722.73</v>
      </c>
      <c r="U53" s="546">
        <v>16783.25</v>
      </c>
      <c r="V53" s="545">
        <v>107700.77</v>
      </c>
      <c r="W53" s="546">
        <v>17318.68</v>
      </c>
      <c r="X53" s="545">
        <v>108585.79</v>
      </c>
      <c r="Y53" s="546">
        <v>16719.24</v>
      </c>
      <c r="Z53" s="545">
        <v>109543.19</v>
      </c>
      <c r="AA53" s="546">
        <v>17242.8</v>
      </c>
      <c r="AB53" s="547">
        <v>1255732.84</v>
      </c>
      <c r="AC53" s="84">
        <v>205802.42</v>
      </c>
    </row>
    <row r="54" spans="1:29" ht="12.75">
      <c r="A54" s="34" t="s">
        <v>11</v>
      </c>
      <c r="B54" s="545">
        <v>6212.42</v>
      </c>
      <c r="C54" s="546">
        <v>1093.95</v>
      </c>
      <c r="D54" s="545">
        <v>6260.15</v>
      </c>
      <c r="E54" s="546">
        <v>1021.29</v>
      </c>
      <c r="F54" s="550">
        <v>6312.35</v>
      </c>
      <c r="G54" s="559">
        <v>1090.11</v>
      </c>
      <c r="H54" s="550">
        <v>6365.23</v>
      </c>
      <c r="I54" s="559">
        <v>1053.32</v>
      </c>
      <c r="J54" s="550">
        <v>6424.28</v>
      </c>
      <c r="K54" s="559">
        <v>1087.61</v>
      </c>
      <c r="L54" s="550">
        <v>6476.72</v>
      </c>
      <c r="M54" s="559">
        <v>1050.47</v>
      </c>
      <c r="N54" s="547">
        <v>38051.15</v>
      </c>
      <c r="O54" s="84">
        <v>6396.75</v>
      </c>
      <c r="P54" s="545">
        <v>6528.3</v>
      </c>
      <c r="Q54" s="546">
        <v>1083.04</v>
      </c>
      <c r="R54" s="545">
        <v>6575.59</v>
      </c>
      <c r="S54" s="546">
        <v>1079.73</v>
      </c>
      <c r="T54" s="545">
        <v>6632.09</v>
      </c>
      <c r="U54" s="546">
        <v>1042.96</v>
      </c>
      <c r="V54" s="545">
        <v>6692.87</v>
      </c>
      <c r="W54" s="546">
        <v>1076.24</v>
      </c>
      <c r="X54" s="545">
        <v>6747.86</v>
      </c>
      <c r="Y54" s="546">
        <v>1038.99</v>
      </c>
      <c r="Z54" s="545">
        <v>6807.36</v>
      </c>
      <c r="AA54" s="546">
        <v>1071.52</v>
      </c>
      <c r="AB54" s="547">
        <v>78035.22</v>
      </c>
      <c r="AC54" s="84">
        <v>12789.23</v>
      </c>
    </row>
    <row r="55" spans="1:30" ht="12.75">
      <c r="A55" s="33" t="s">
        <v>129</v>
      </c>
      <c r="B55" s="548">
        <v>618905.49</v>
      </c>
      <c r="C55" s="549">
        <v>397774.5853424657</v>
      </c>
      <c r="D55" s="548">
        <v>626702.45</v>
      </c>
      <c r="E55" s="549">
        <v>389977.6353424658</v>
      </c>
      <c r="F55" s="548">
        <v>634598.27</v>
      </c>
      <c r="G55" s="549">
        <v>499558.70904109586</v>
      </c>
      <c r="H55" s="548">
        <v>642594.17</v>
      </c>
      <c r="I55" s="549">
        <v>494085.9053424658</v>
      </c>
      <c r="J55" s="548">
        <v>650691.47</v>
      </c>
      <c r="K55" s="549">
        <v>481164.1390410959</v>
      </c>
      <c r="L55" s="548">
        <v>808146.23</v>
      </c>
      <c r="M55" s="549">
        <v>474974.35</v>
      </c>
      <c r="N55" s="548">
        <v>3981638.08</v>
      </c>
      <c r="O55" s="549">
        <v>2737535.324109589</v>
      </c>
      <c r="P55" s="548">
        <v>818354.76</v>
      </c>
      <c r="Q55" s="549">
        <v>464765.84</v>
      </c>
      <c r="R55" s="548">
        <v>828692.87</v>
      </c>
      <c r="S55" s="549">
        <v>454427.7</v>
      </c>
      <c r="T55" s="548">
        <v>936373.33</v>
      </c>
      <c r="U55" s="549">
        <v>443958.3</v>
      </c>
      <c r="V55" s="548">
        <v>948433.84</v>
      </c>
      <c r="W55" s="549">
        <v>431897.8</v>
      </c>
      <c r="X55" s="548">
        <v>960650.84</v>
      </c>
      <c r="Y55" s="549">
        <v>419680.8</v>
      </c>
      <c r="Z55" s="548">
        <v>973026.41</v>
      </c>
      <c r="AA55" s="549">
        <v>407305.23</v>
      </c>
      <c r="AB55" s="548">
        <v>9447170.13</v>
      </c>
      <c r="AC55" s="549">
        <v>5359570.994109588</v>
      </c>
      <c r="AD55" s="13"/>
    </row>
    <row r="56" spans="1:30" ht="12.75" hidden="1">
      <c r="A56" s="34" t="s">
        <v>21</v>
      </c>
      <c r="B56" s="545"/>
      <c r="C56" s="546"/>
      <c r="D56" s="545"/>
      <c r="E56" s="546"/>
      <c r="F56" s="545"/>
      <c r="G56" s="546"/>
      <c r="H56" s="545"/>
      <c r="I56" s="546"/>
      <c r="J56" s="545"/>
      <c r="K56" s="546"/>
      <c r="L56" s="545"/>
      <c r="M56" s="546"/>
      <c r="N56" s="547">
        <v>0</v>
      </c>
      <c r="O56" s="84">
        <v>0</v>
      </c>
      <c r="P56" s="545"/>
      <c r="Q56" s="546"/>
      <c r="R56" s="545"/>
      <c r="S56" s="546"/>
      <c r="T56" s="545"/>
      <c r="U56" s="546"/>
      <c r="V56" s="545"/>
      <c r="W56" s="546"/>
      <c r="X56" s="545"/>
      <c r="Y56" s="546"/>
      <c r="Z56" s="545"/>
      <c r="AA56" s="546"/>
      <c r="AB56" s="547">
        <v>0</v>
      </c>
      <c r="AC56" s="84">
        <v>0</v>
      </c>
      <c r="AD56" s="13"/>
    </row>
    <row r="57" spans="1:30" ht="12.75">
      <c r="A57" s="34" t="s">
        <v>22</v>
      </c>
      <c r="B57" s="545">
        <v>136229.2</v>
      </c>
      <c r="C57" s="546">
        <v>37164.57</v>
      </c>
      <c r="D57" s="545">
        <v>138067.16</v>
      </c>
      <c r="E57" s="546">
        <v>35326.61</v>
      </c>
      <c r="F57" s="545">
        <v>139929.92</v>
      </c>
      <c r="G57" s="546">
        <v>33463.85</v>
      </c>
      <c r="H57" s="545">
        <v>141817.8</v>
      </c>
      <c r="I57" s="546">
        <v>31575.97</v>
      </c>
      <c r="J57" s="545">
        <v>143731.16</v>
      </c>
      <c r="K57" s="546">
        <v>29662.61</v>
      </c>
      <c r="L57" s="545">
        <v>145670.34</v>
      </c>
      <c r="M57" s="546">
        <v>27723.43</v>
      </c>
      <c r="N57" s="547">
        <v>845445.58</v>
      </c>
      <c r="O57" s="84">
        <v>194917.04</v>
      </c>
      <c r="P57" s="545">
        <v>147635.67</v>
      </c>
      <c r="Q57" s="546">
        <v>25758.1</v>
      </c>
      <c r="R57" s="545">
        <v>149627.52</v>
      </c>
      <c r="S57" s="546">
        <v>23766.25</v>
      </c>
      <c r="T57" s="545">
        <v>151646.25</v>
      </c>
      <c r="U57" s="546">
        <v>21747.52</v>
      </c>
      <c r="V57" s="545">
        <v>153692.21</v>
      </c>
      <c r="W57" s="546">
        <v>19701.56</v>
      </c>
      <c r="X57" s="545">
        <v>155765.77</v>
      </c>
      <c r="Y57" s="546">
        <v>17628</v>
      </c>
      <c r="Z57" s="545">
        <v>157867.31</v>
      </c>
      <c r="AA57" s="546">
        <v>15526.46</v>
      </c>
      <c r="AB57" s="547">
        <v>1761680.31</v>
      </c>
      <c r="AC57" s="84">
        <v>319044.93</v>
      </c>
      <c r="AD57" s="13"/>
    </row>
    <row r="58" spans="1:30" ht="12.75">
      <c r="A58" s="34" t="s">
        <v>126</v>
      </c>
      <c r="B58" s="545"/>
      <c r="C58" s="546"/>
      <c r="D58" s="545"/>
      <c r="E58" s="546"/>
      <c r="F58" s="545">
        <v>0</v>
      </c>
      <c r="G58" s="546">
        <v>122301.37</v>
      </c>
      <c r="H58" s="545">
        <v>0</v>
      </c>
      <c r="I58" s="546">
        <v>120000</v>
      </c>
      <c r="J58" s="545">
        <v>0</v>
      </c>
      <c r="K58" s="546">
        <v>120000</v>
      </c>
      <c r="L58" s="545">
        <v>0</v>
      </c>
      <c r="M58" s="546">
        <v>120000</v>
      </c>
      <c r="N58" s="547">
        <v>0</v>
      </c>
      <c r="O58" s="84">
        <v>482301.37</v>
      </c>
      <c r="P58" s="545">
        <v>0</v>
      </c>
      <c r="Q58" s="546">
        <v>120000</v>
      </c>
      <c r="R58" s="545">
        <v>0</v>
      </c>
      <c r="S58" s="546">
        <v>120000</v>
      </c>
      <c r="T58" s="545">
        <v>97211.05</v>
      </c>
      <c r="U58" s="546">
        <v>120000</v>
      </c>
      <c r="V58" s="545">
        <v>98669.22</v>
      </c>
      <c r="W58" s="546">
        <v>118541.83</v>
      </c>
      <c r="X58" s="545">
        <v>100149.25</v>
      </c>
      <c r="Y58" s="546">
        <v>117061.8</v>
      </c>
      <c r="Z58" s="545">
        <v>101651.49</v>
      </c>
      <c r="AA58" s="546">
        <v>115559.56</v>
      </c>
      <c r="AB58" s="547">
        <v>397681.01</v>
      </c>
      <c r="AC58" s="84">
        <v>1193464.56</v>
      </c>
      <c r="AD58" s="13"/>
    </row>
    <row r="59" spans="1:30" ht="12.75">
      <c r="A59" s="34" t="s">
        <v>84</v>
      </c>
      <c r="B59" s="545">
        <v>244607.74</v>
      </c>
      <c r="C59" s="546">
        <v>76513.77</v>
      </c>
      <c r="D59" s="545">
        <v>247652.6</v>
      </c>
      <c r="E59" s="546">
        <v>73468.91</v>
      </c>
      <c r="F59" s="545">
        <v>250735.36</v>
      </c>
      <c r="G59" s="546">
        <v>70386.16</v>
      </c>
      <c r="H59" s="545">
        <v>253856.49</v>
      </c>
      <c r="I59" s="546">
        <v>67265.02</v>
      </c>
      <c r="J59" s="545">
        <v>257016.48</v>
      </c>
      <c r="K59" s="546">
        <v>64105.04</v>
      </c>
      <c r="L59" s="545">
        <v>260215.79</v>
      </c>
      <c r="M59" s="546">
        <v>60905.72</v>
      </c>
      <c r="N59" s="547">
        <v>1514084.46</v>
      </c>
      <c r="O59" s="84">
        <v>412644.62</v>
      </c>
      <c r="P59" s="545">
        <v>263454.94</v>
      </c>
      <c r="Q59" s="546">
        <v>57666.57</v>
      </c>
      <c r="R59" s="545">
        <v>266734.4</v>
      </c>
      <c r="S59" s="546">
        <v>54387.11</v>
      </c>
      <c r="T59" s="545">
        <v>270054.69</v>
      </c>
      <c r="U59" s="546">
        <v>51066.82</v>
      </c>
      <c r="V59" s="545">
        <v>273416.31</v>
      </c>
      <c r="W59" s="546">
        <v>47705.2</v>
      </c>
      <c r="X59" s="545">
        <v>276819.77</v>
      </c>
      <c r="Y59" s="546">
        <v>44301.74</v>
      </c>
      <c r="Z59" s="545">
        <v>280265.6</v>
      </c>
      <c r="AA59" s="546">
        <v>40855.91</v>
      </c>
      <c r="AB59" s="547">
        <v>3144830.17</v>
      </c>
      <c r="AC59" s="84">
        <v>708627.97</v>
      </c>
      <c r="AD59" s="13"/>
    </row>
    <row r="60" spans="1:30" ht="12.75">
      <c r="A60" s="34" t="s">
        <v>23</v>
      </c>
      <c r="B60" s="545">
        <v>60513.1</v>
      </c>
      <c r="C60" s="546">
        <v>16828.13</v>
      </c>
      <c r="D60" s="545">
        <v>61109.94</v>
      </c>
      <c r="E60" s="546">
        <v>16231.29</v>
      </c>
      <c r="F60" s="545">
        <v>61712.67</v>
      </c>
      <c r="G60" s="546">
        <v>15628.56</v>
      </c>
      <c r="H60" s="545">
        <v>62321.34</v>
      </c>
      <c r="I60" s="546">
        <v>15019.88</v>
      </c>
      <c r="J60" s="545">
        <v>62936.02</v>
      </c>
      <c r="K60" s="546">
        <v>14405.21</v>
      </c>
      <c r="L60" s="545">
        <v>63556.75</v>
      </c>
      <c r="M60" s="546">
        <v>13784.47</v>
      </c>
      <c r="N60" s="547">
        <v>372149.82</v>
      </c>
      <c r="O60" s="84">
        <v>91897.54</v>
      </c>
      <c r="P60" s="545">
        <v>64183.62</v>
      </c>
      <c r="Q60" s="546">
        <v>13157.61</v>
      </c>
      <c r="R60" s="545">
        <v>64816.66</v>
      </c>
      <c r="S60" s="546">
        <v>12524.56</v>
      </c>
      <c r="T60" s="545">
        <v>65455.95</v>
      </c>
      <c r="U60" s="546">
        <v>11885.28</v>
      </c>
      <c r="V60" s="545">
        <v>66101.54</v>
      </c>
      <c r="W60" s="546">
        <v>11239.68</v>
      </c>
      <c r="X60" s="545">
        <v>66753.5</v>
      </c>
      <c r="Y60" s="546">
        <v>10587.72</v>
      </c>
      <c r="Z60" s="545">
        <v>67411.89</v>
      </c>
      <c r="AA60" s="546">
        <v>9929.33</v>
      </c>
      <c r="AB60" s="547">
        <v>766872.98</v>
      </c>
      <c r="AC60" s="84">
        <v>161221.72</v>
      </c>
      <c r="AD60" s="13"/>
    </row>
    <row r="61" spans="1:30" ht="12.75">
      <c r="A61" s="34" t="s">
        <v>105</v>
      </c>
      <c r="B61" s="545">
        <v>0</v>
      </c>
      <c r="C61" s="546">
        <v>149559.07534246577</v>
      </c>
      <c r="D61" s="545">
        <v>0</v>
      </c>
      <c r="E61" s="546">
        <v>149559.07534246577</v>
      </c>
      <c r="F61" s="545">
        <v>0</v>
      </c>
      <c r="G61" s="546">
        <v>144734.5890410959</v>
      </c>
      <c r="H61" s="545">
        <v>0</v>
      </c>
      <c r="I61" s="546">
        <v>149559.07534246577</v>
      </c>
      <c r="J61" s="545">
        <v>0</v>
      </c>
      <c r="K61" s="546">
        <v>144734.5890410959</v>
      </c>
      <c r="L61" s="545">
        <v>149254.79</v>
      </c>
      <c r="M61" s="546">
        <v>146744.79</v>
      </c>
      <c r="N61" s="547">
        <v>149254.79</v>
      </c>
      <c r="O61" s="84">
        <v>884891.1941095892</v>
      </c>
      <c r="P61" s="545">
        <v>151159.35</v>
      </c>
      <c r="Q61" s="546">
        <v>144840.24</v>
      </c>
      <c r="R61" s="545">
        <v>153088.2</v>
      </c>
      <c r="S61" s="546">
        <v>142911.38</v>
      </c>
      <c r="T61" s="545">
        <v>155041.67</v>
      </c>
      <c r="U61" s="546">
        <v>140957.91</v>
      </c>
      <c r="V61" s="545">
        <v>157020.07</v>
      </c>
      <c r="W61" s="546">
        <v>138979.52</v>
      </c>
      <c r="X61" s="545">
        <v>159023.71</v>
      </c>
      <c r="Y61" s="546">
        <v>136975.88</v>
      </c>
      <c r="Z61" s="545">
        <v>161052.92</v>
      </c>
      <c r="AA61" s="546">
        <v>134946.67</v>
      </c>
      <c r="AB61" s="547">
        <v>1085640.71</v>
      </c>
      <c r="AC61" s="84">
        <v>1724502.794109589</v>
      </c>
      <c r="AD61" s="13"/>
    </row>
    <row r="62" spans="1:30" ht="12.75">
      <c r="A62" s="34" t="s">
        <v>4</v>
      </c>
      <c r="B62" s="545">
        <v>103550.02</v>
      </c>
      <c r="C62" s="546">
        <v>54656.62</v>
      </c>
      <c r="D62" s="545">
        <v>104930.69</v>
      </c>
      <c r="E62" s="546">
        <v>53275.96</v>
      </c>
      <c r="F62" s="545">
        <v>106329.77</v>
      </c>
      <c r="G62" s="546">
        <v>51876.88</v>
      </c>
      <c r="H62" s="545">
        <v>107747.5</v>
      </c>
      <c r="I62" s="546">
        <v>50459.15</v>
      </c>
      <c r="J62" s="545">
        <v>109184.13</v>
      </c>
      <c r="K62" s="546">
        <v>49022.52</v>
      </c>
      <c r="L62" s="545">
        <v>110639.92</v>
      </c>
      <c r="M62" s="546">
        <v>47566.73</v>
      </c>
      <c r="N62" s="547">
        <v>642382.03</v>
      </c>
      <c r="O62" s="84">
        <v>306857.86</v>
      </c>
      <c r="P62" s="551">
        <v>112115.12</v>
      </c>
      <c r="Q62" s="552">
        <v>46091.53</v>
      </c>
      <c r="R62" s="551">
        <v>113609.99</v>
      </c>
      <c r="S62" s="552">
        <v>44596.66</v>
      </c>
      <c r="T62" s="551">
        <v>115124.79</v>
      </c>
      <c r="U62" s="552">
        <v>43081.86</v>
      </c>
      <c r="V62" s="551">
        <v>116659.78</v>
      </c>
      <c r="W62" s="552">
        <v>41546.87</v>
      </c>
      <c r="X62" s="551">
        <v>118215.25</v>
      </c>
      <c r="Y62" s="552">
        <v>39991.4</v>
      </c>
      <c r="Z62" s="551">
        <v>119791.45</v>
      </c>
      <c r="AA62" s="552">
        <v>38415.2</v>
      </c>
      <c r="AB62" s="547">
        <v>1337898.41</v>
      </c>
      <c r="AC62" s="84">
        <v>560581.38</v>
      </c>
      <c r="AD62" s="13"/>
    </row>
    <row r="63" spans="1:30" ht="12.75">
      <c r="A63" s="34" t="s">
        <v>10</v>
      </c>
      <c r="B63" s="545">
        <v>74005.43</v>
      </c>
      <c r="C63" s="546">
        <v>63052.42</v>
      </c>
      <c r="D63" s="545">
        <v>74942.06</v>
      </c>
      <c r="E63" s="546">
        <v>62115.79</v>
      </c>
      <c r="F63" s="545">
        <v>75890.55</v>
      </c>
      <c r="G63" s="546">
        <v>61167.3</v>
      </c>
      <c r="H63" s="545">
        <v>76851.04</v>
      </c>
      <c r="I63" s="546">
        <v>60206.81</v>
      </c>
      <c r="J63" s="545">
        <v>77823.68</v>
      </c>
      <c r="K63" s="546">
        <v>59234.17</v>
      </c>
      <c r="L63" s="545">
        <v>78808.64</v>
      </c>
      <c r="M63" s="546">
        <v>58249.21</v>
      </c>
      <c r="N63" s="547">
        <v>458321.4</v>
      </c>
      <c r="O63" s="84">
        <v>364025.7</v>
      </c>
      <c r="P63" s="545">
        <v>79806.06</v>
      </c>
      <c r="Q63" s="546">
        <v>57251.79</v>
      </c>
      <c r="R63" s="545">
        <v>80816.1</v>
      </c>
      <c r="S63" s="546">
        <v>56241.74</v>
      </c>
      <c r="T63" s="545">
        <v>81838.93</v>
      </c>
      <c r="U63" s="546">
        <v>55218.91</v>
      </c>
      <c r="V63" s="545">
        <v>82874.71</v>
      </c>
      <c r="W63" s="546">
        <v>54183.14</v>
      </c>
      <c r="X63" s="545">
        <v>83923.59</v>
      </c>
      <c r="Y63" s="546">
        <v>53134.26</v>
      </c>
      <c r="Z63" s="545">
        <v>84985.75</v>
      </c>
      <c r="AA63" s="546">
        <v>52072.1</v>
      </c>
      <c r="AB63" s="547">
        <v>952566.54</v>
      </c>
      <c r="AC63" s="84">
        <v>692127.64</v>
      </c>
      <c r="AD63" s="13"/>
    </row>
    <row r="64" spans="1:29" ht="12.75">
      <c r="A64" s="134" t="s">
        <v>130</v>
      </c>
      <c r="B64" s="548">
        <v>117212.17</v>
      </c>
      <c r="C64" s="549">
        <v>72085.72</v>
      </c>
      <c r="D64" s="548">
        <v>117212.15</v>
      </c>
      <c r="E64" s="549">
        <v>66623.14</v>
      </c>
      <c r="F64" s="548">
        <v>117212.17</v>
      </c>
      <c r="G64" s="549">
        <v>70891.12</v>
      </c>
      <c r="H64" s="548">
        <v>117212.15</v>
      </c>
      <c r="I64" s="549">
        <v>68026.27</v>
      </c>
      <c r="J64" s="548">
        <v>117212.17</v>
      </c>
      <c r="K64" s="549">
        <v>69696.52</v>
      </c>
      <c r="L64" s="548">
        <v>117212.15</v>
      </c>
      <c r="M64" s="549">
        <v>66870.21</v>
      </c>
      <c r="N64" s="548">
        <v>703272.96</v>
      </c>
      <c r="O64" s="549">
        <v>414192.98</v>
      </c>
      <c r="P64" s="548">
        <v>117212.17</v>
      </c>
      <c r="Q64" s="549">
        <v>68501.92</v>
      </c>
      <c r="R64" s="548">
        <v>117212.15</v>
      </c>
      <c r="S64" s="549">
        <v>67904.62</v>
      </c>
      <c r="T64" s="548">
        <v>117212.17</v>
      </c>
      <c r="U64" s="549">
        <v>65136.12</v>
      </c>
      <c r="V64" s="548">
        <v>117212.15</v>
      </c>
      <c r="W64" s="549">
        <v>66710.02</v>
      </c>
      <c r="X64" s="548">
        <v>117212.17</v>
      </c>
      <c r="Y64" s="549">
        <v>63980.05</v>
      </c>
      <c r="Z64" s="548">
        <v>117212.15</v>
      </c>
      <c r="AA64" s="549">
        <v>65515.42</v>
      </c>
      <c r="AB64" s="548">
        <v>1406545.92</v>
      </c>
      <c r="AC64" s="549">
        <v>811941.13</v>
      </c>
    </row>
    <row r="65" spans="1:29" ht="12.75">
      <c r="A65" s="34" t="s">
        <v>126</v>
      </c>
      <c r="B65" s="545">
        <v>56295.49</v>
      </c>
      <c r="C65" s="546">
        <v>6885.01</v>
      </c>
      <c r="D65" s="545">
        <v>56295.48</v>
      </c>
      <c r="E65" s="546">
        <v>5959.61</v>
      </c>
      <c r="F65" s="545">
        <v>56295.49</v>
      </c>
      <c r="G65" s="546">
        <v>6311.26</v>
      </c>
      <c r="H65" s="545">
        <v>56295.48</v>
      </c>
      <c r="I65" s="546">
        <v>5830.05</v>
      </c>
      <c r="J65" s="545">
        <v>56295.49</v>
      </c>
      <c r="K65" s="546">
        <v>5737.51</v>
      </c>
      <c r="L65" s="545">
        <v>56295.48</v>
      </c>
      <c r="M65" s="546">
        <v>5274.81</v>
      </c>
      <c r="N65" s="547">
        <v>337772.91</v>
      </c>
      <c r="O65" s="84">
        <v>35998.25</v>
      </c>
      <c r="P65" s="545">
        <v>56295.49</v>
      </c>
      <c r="Q65" s="546">
        <v>5163.76</v>
      </c>
      <c r="R65" s="545">
        <v>56295.48</v>
      </c>
      <c r="S65" s="546">
        <v>4876.89</v>
      </c>
      <c r="T65" s="545">
        <v>56295.49</v>
      </c>
      <c r="U65" s="546">
        <v>4441.95</v>
      </c>
      <c r="V65" s="545">
        <v>56295.48</v>
      </c>
      <c r="W65" s="546">
        <v>4303.13</v>
      </c>
      <c r="X65" s="545">
        <v>56295.49</v>
      </c>
      <c r="Y65" s="546">
        <v>3886.7</v>
      </c>
      <c r="Z65" s="545">
        <v>56295.48</v>
      </c>
      <c r="AA65" s="546">
        <v>3729.38</v>
      </c>
      <c r="AB65" s="547">
        <v>675545.82</v>
      </c>
      <c r="AC65" s="84">
        <v>62400.06</v>
      </c>
    </row>
    <row r="66" spans="1:29" ht="12.75">
      <c r="A66" s="34" t="s">
        <v>10</v>
      </c>
      <c r="B66" s="545">
        <v>10654.08</v>
      </c>
      <c r="C66" s="546">
        <v>1303.01</v>
      </c>
      <c r="D66" s="545">
        <v>10654.07</v>
      </c>
      <c r="E66" s="546">
        <v>1127.87</v>
      </c>
      <c r="F66" s="545">
        <v>10654.08</v>
      </c>
      <c r="G66" s="546">
        <v>1194.42</v>
      </c>
      <c r="H66" s="545">
        <v>10654.07</v>
      </c>
      <c r="I66" s="546">
        <v>1103.35</v>
      </c>
      <c r="J66" s="545">
        <v>10654.08</v>
      </c>
      <c r="K66" s="546">
        <v>1085.84</v>
      </c>
      <c r="L66" s="545">
        <v>10654.07</v>
      </c>
      <c r="M66" s="546">
        <v>998.27</v>
      </c>
      <c r="N66" s="547">
        <v>63924.45</v>
      </c>
      <c r="O66" s="84">
        <v>6812.76</v>
      </c>
      <c r="P66" s="545">
        <v>10654.08</v>
      </c>
      <c r="Q66" s="546">
        <v>977.26</v>
      </c>
      <c r="R66" s="545">
        <v>10654.07</v>
      </c>
      <c r="S66" s="546">
        <v>922.96</v>
      </c>
      <c r="T66" s="545">
        <v>10654.08</v>
      </c>
      <c r="U66" s="546">
        <v>840.65</v>
      </c>
      <c r="V66" s="545">
        <v>10654.07</v>
      </c>
      <c r="W66" s="546">
        <v>814.38</v>
      </c>
      <c r="X66" s="545">
        <v>10654.08</v>
      </c>
      <c r="Y66" s="546">
        <v>735.57</v>
      </c>
      <c r="Z66" s="545">
        <v>10654.07</v>
      </c>
      <c r="AA66" s="546">
        <v>705.8</v>
      </c>
      <c r="AB66" s="547">
        <v>127848.9</v>
      </c>
      <c r="AC66" s="84">
        <v>11809.38</v>
      </c>
    </row>
    <row r="67" spans="1:29" ht="12.75">
      <c r="A67" s="485" t="s">
        <v>22</v>
      </c>
      <c r="B67" s="545">
        <v>50262.6</v>
      </c>
      <c r="C67" s="546">
        <v>63897.7</v>
      </c>
      <c r="D67" s="545">
        <v>50262.6</v>
      </c>
      <c r="E67" s="546">
        <v>59535.66</v>
      </c>
      <c r="F67" s="545">
        <v>50262.6</v>
      </c>
      <c r="G67" s="546">
        <v>63385.44</v>
      </c>
      <c r="H67" s="545">
        <v>50262.6</v>
      </c>
      <c r="I67" s="546">
        <v>61092.87</v>
      </c>
      <c r="J67" s="545">
        <v>50262.6</v>
      </c>
      <c r="K67" s="546">
        <v>62873.17</v>
      </c>
      <c r="L67" s="545">
        <v>50262.6</v>
      </c>
      <c r="M67" s="546">
        <v>60597.13</v>
      </c>
      <c r="N67" s="547">
        <v>301575.6</v>
      </c>
      <c r="O67" s="84">
        <v>371381.97</v>
      </c>
      <c r="P67" s="545">
        <v>50262.6</v>
      </c>
      <c r="Q67" s="546">
        <v>62360.9</v>
      </c>
      <c r="R67" s="545">
        <v>50262.6</v>
      </c>
      <c r="S67" s="546">
        <v>62104.77</v>
      </c>
      <c r="T67" s="545">
        <v>50262.6</v>
      </c>
      <c r="U67" s="546">
        <v>59853.52</v>
      </c>
      <c r="V67" s="545">
        <v>50262.6</v>
      </c>
      <c r="W67" s="546">
        <v>61592.51</v>
      </c>
      <c r="X67" s="545">
        <v>50262.6</v>
      </c>
      <c r="Y67" s="546">
        <v>59357.78</v>
      </c>
      <c r="Z67" s="545">
        <v>50262.6</v>
      </c>
      <c r="AA67" s="546">
        <v>61080.24</v>
      </c>
      <c r="AB67" s="547">
        <v>603151.2</v>
      </c>
      <c r="AC67" s="84">
        <v>737731.69</v>
      </c>
    </row>
    <row r="68" spans="1:29" ht="12.75" hidden="1">
      <c r="A68" s="485" t="s">
        <v>8</v>
      </c>
      <c r="B68" s="545"/>
      <c r="C68" s="546"/>
      <c r="D68" s="545"/>
      <c r="E68" s="546"/>
      <c r="F68" s="545"/>
      <c r="G68" s="546"/>
      <c r="H68" s="545"/>
      <c r="I68" s="546"/>
      <c r="J68" s="545"/>
      <c r="K68" s="546"/>
      <c r="L68" s="545"/>
      <c r="M68" s="546"/>
      <c r="N68" s="547">
        <v>0</v>
      </c>
      <c r="O68" s="84">
        <v>0</v>
      </c>
      <c r="P68" s="545"/>
      <c r="Q68" s="546"/>
      <c r="R68" s="545"/>
      <c r="S68" s="546"/>
      <c r="T68" s="545"/>
      <c r="U68" s="546"/>
      <c r="V68" s="545"/>
      <c r="W68" s="546"/>
      <c r="X68" s="545"/>
      <c r="Y68" s="546"/>
      <c r="Z68" s="545"/>
      <c r="AA68" s="546"/>
      <c r="AB68" s="547">
        <v>0</v>
      </c>
      <c r="AC68" s="84">
        <v>0</v>
      </c>
    </row>
    <row r="69" spans="1:29" ht="12.75" hidden="1">
      <c r="A69" s="485" t="s">
        <v>11</v>
      </c>
      <c r="B69" s="545"/>
      <c r="C69" s="546"/>
      <c r="D69" s="545"/>
      <c r="E69" s="546"/>
      <c r="F69" s="545"/>
      <c r="G69" s="546"/>
      <c r="H69" s="545"/>
      <c r="I69" s="546"/>
      <c r="J69" s="545"/>
      <c r="K69" s="546"/>
      <c r="L69" s="545"/>
      <c r="M69" s="546"/>
      <c r="N69" s="547">
        <v>0</v>
      </c>
      <c r="O69" s="84">
        <v>0</v>
      </c>
      <c r="P69" s="545"/>
      <c r="Q69" s="546"/>
      <c r="R69" s="545"/>
      <c r="S69" s="546"/>
      <c r="T69" s="545"/>
      <c r="U69" s="546"/>
      <c r="V69" s="545"/>
      <c r="W69" s="546"/>
      <c r="X69" s="545"/>
      <c r="Y69" s="546"/>
      <c r="Z69" s="545"/>
      <c r="AA69" s="546"/>
      <c r="AB69" s="547">
        <v>0</v>
      </c>
      <c r="AC69" s="84">
        <v>0</v>
      </c>
    </row>
    <row r="70" spans="1:29" s="1" customFormat="1" ht="12">
      <c r="A70" s="134" t="s">
        <v>179</v>
      </c>
      <c r="B70" s="548">
        <v>76349.43</v>
      </c>
      <c r="C70" s="549">
        <v>892126.37</v>
      </c>
      <c r="D70" s="548">
        <v>77022.7</v>
      </c>
      <c r="E70" s="549">
        <v>55639.4</v>
      </c>
      <c r="F70" s="548">
        <v>77703.28</v>
      </c>
      <c r="G70" s="549">
        <v>264508.13506849314</v>
      </c>
      <c r="H70" s="548">
        <v>78391.26</v>
      </c>
      <c r="I70" s="549">
        <v>54270.83</v>
      </c>
      <c r="J70" s="548">
        <v>79086.73</v>
      </c>
      <c r="K70" s="549">
        <v>53575.37</v>
      </c>
      <c r="L70" s="548">
        <v>79789.77</v>
      </c>
      <c r="M70" s="549">
        <v>52872.33</v>
      </c>
      <c r="N70" s="548">
        <v>468343.17</v>
      </c>
      <c r="O70" s="549">
        <v>1372992.4350684932</v>
      </c>
      <c r="P70" s="548">
        <v>1341851.33</v>
      </c>
      <c r="Q70" s="549">
        <v>881161.64</v>
      </c>
      <c r="R70" s="548">
        <v>81218.89</v>
      </c>
      <c r="S70" s="549">
        <v>51443.2</v>
      </c>
      <c r="T70" s="548">
        <v>251228.16</v>
      </c>
      <c r="U70" s="549">
        <v>260841.93</v>
      </c>
      <c r="V70" s="548">
        <v>82679.37</v>
      </c>
      <c r="W70" s="549">
        <v>49982.73</v>
      </c>
      <c r="X70" s="548">
        <v>83421.58</v>
      </c>
      <c r="Y70" s="549">
        <v>49240.52</v>
      </c>
      <c r="Z70" s="548">
        <v>84171.9</v>
      </c>
      <c r="AA70" s="549">
        <v>48490.19</v>
      </c>
      <c r="AB70" s="548">
        <v>2392914.4</v>
      </c>
      <c r="AC70" s="549">
        <v>2714152.6450684937</v>
      </c>
    </row>
    <row r="71" spans="1:29" s="1" customFormat="1" ht="12">
      <c r="A71" s="379" t="s">
        <v>203</v>
      </c>
      <c r="B71" s="545"/>
      <c r="C71" s="546">
        <v>835813.7</v>
      </c>
      <c r="D71" s="79"/>
      <c r="E71" s="80"/>
      <c r="F71" s="79"/>
      <c r="G71" s="80"/>
      <c r="H71" s="79"/>
      <c r="I71" s="80"/>
      <c r="J71" s="79"/>
      <c r="K71" s="80"/>
      <c r="L71" s="79"/>
      <c r="M71" s="80"/>
      <c r="N71" s="547">
        <v>0</v>
      </c>
      <c r="O71" s="84">
        <v>835813.7</v>
      </c>
      <c r="P71" s="545">
        <v>1261350.88</v>
      </c>
      <c r="Q71" s="546">
        <v>829000</v>
      </c>
      <c r="R71" s="79"/>
      <c r="S71" s="80"/>
      <c r="T71" s="79"/>
      <c r="U71" s="80"/>
      <c r="V71" s="79"/>
      <c r="W71" s="80"/>
      <c r="X71" s="79"/>
      <c r="Y71" s="80"/>
      <c r="Z71" s="79"/>
      <c r="AA71" s="80"/>
      <c r="AB71" s="547">
        <v>1261350.88</v>
      </c>
      <c r="AC71" s="84">
        <v>1664813.7</v>
      </c>
    </row>
    <row r="72" spans="1:29" s="1" customFormat="1" ht="12">
      <c r="A72" s="379" t="s">
        <v>205</v>
      </c>
      <c r="B72" s="545">
        <v>31810.74</v>
      </c>
      <c r="C72" s="546">
        <v>25031.48</v>
      </c>
      <c r="D72" s="545">
        <v>32223.74</v>
      </c>
      <c r="E72" s="546">
        <v>24618.48</v>
      </c>
      <c r="F72" s="545">
        <v>32642.1</v>
      </c>
      <c r="G72" s="546">
        <v>24200.12</v>
      </c>
      <c r="H72" s="545">
        <v>33065.89</v>
      </c>
      <c r="I72" s="546">
        <v>23776.32</v>
      </c>
      <c r="J72" s="545">
        <v>33495.19</v>
      </c>
      <c r="K72" s="546">
        <v>23347.03</v>
      </c>
      <c r="L72" s="545">
        <v>33930.06</v>
      </c>
      <c r="M72" s="546">
        <v>22912.16</v>
      </c>
      <c r="N72" s="547">
        <v>197167.72</v>
      </c>
      <c r="O72" s="84">
        <v>143885.59</v>
      </c>
      <c r="P72" s="545">
        <v>34370.57</v>
      </c>
      <c r="Q72" s="546">
        <v>22471.65</v>
      </c>
      <c r="R72" s="545">
        <v>34816.8</v>
      </c>
      <c r="S72" s="546">
        <v>22025.41</v>
      </c>
      <c r="T72" s="545">
        <v>35268.83</v>
      </c>
      <c r="U72" s="546">
        <v>21573.39</v>
      </c>
      <c r="V72" s="545">
        <v>35726.73</v>
      </c>
      <c r="W72" s="546">
        <v>21115.49</v>
      </c>
      <c r="X72" s="545">
        <v>36190.57</v>
      </c>
      <c r="Y72" s="546">
        <v>20651.65</v>
      </c>
      <c r="Z72" s="545">
        <v>36660.43</v>
      </c>
      <c r="AA72" s="546">
        <v>20181.79</v>
      </c>
      <c r="AB72" s="547">
        <v>410201.65</v>
      </c>
      <c r="AC72" s="84">
        <v>271904.97</v>
      </c>
    </row>
    <row r="73" spans="1:29" s="1" customFormat="1" ht="12">
      <c r="A73" s="379" t="s">
        <v>202</v>
      </c>
      <c r="B73" s="545">
        <v>34702.69</v>
      </c>
      <c r="C73" s="546">
        <v>31281.19</v>
      </c>
      <c r="D73" s="545">
        <v>34962.96</v>
      </c>
      <c r="E73" s="546">
        <v>31020.92</v>
      </c>
      <c r="F73" s="545">
        <v>35225.18</v>
      </c>
      <c r="G73" s="546">
        <v>30758.7</v>
      </c>
      <c r="H73" s="545">
        <v>35489.37</v>
      </c>
      <c r="I73" s="546">
        <v>30494.51</v>
      </c>
      <c r="J73" s="545">
        <v>35755.54</v>
      </c>
      <c r="K73" s="546">
        <v>30228.34</v>
      </c>
      <c r="L73" s="545">
        <v>36023.71</v>
      </c>
      <c r="M73" s="546">
        <v>29960.17</v>
      </c>
      <c r="N73" s="547">
        <v>212159.45</v>
      </c>
      <c r="O73" s="84">
        <v>183743.83</v>
      </c>
      <c r="P73" s="545">
        <v>36293.88</v>
      </c>
      <c r="Q73" s="546">
        <v>29689.99</v>
      </c>
      <c r="R73" s="545">
        <v>36566.09</v>
      </c>
      <c r="S73" s="546">
        <v>29417.79</v>
      </c>
      <c r="T73" s="545">
        <v>36840.33</v>
      </c>
      <c r="U73" s="546">
        <v>29143.54</v>
      </c>
      <c r="V73" s="545">
        <v>37116.64</v>
      </c>
      <c r="W73" s="546">
        <v>28867.24</v>
      </c>
      <c r="X73" s="545">
        <v>37395.01</v>
      </c>
      <c r="Y73" s="546">
        <v>28588.87</v>
      </c>
      <c r="Z73" s="545">
        <v>37675.47</v>
      </c>
      <c r="AA73" s="546">
        <v>28308.4</v>
      </c>
      <c r="AB73" s="547">
        <v>434046.87</v>
      </c>
      <c r="AC73" s="84">
        <v>357759.66</v>
      </c>
    </row>
    <row r="74" spans="1:29" s="1" customFormat="1" ht="12">
      <c r="A74" s="379" t="s">
        <v>212</v>
      </c>
      <c r="B74" s="545"/>
      <c r="C74" s="546"/>
      <c r="D74" s="545"/>
      <c r="E74" s="546"/>
      <c r="F74" s="545">
        <v>0</v>
      </c>
      <c r="G74" s="546">
        <v>209549.31506849316</v>
      </c>
      <c r="H74" s="545"/>
      <c r="I74" s="546"/>
      <c r="J74" s="545"/>
      <c r="K74" s="546"/>
      <c r="L74" s="545"/>
      <c r="M74" s="546"/>
      <c r="N74" s="547">
        <v>0</v>
      </c>
      <c r="O74" s="84">
        <v>209549.31506849316</v>
      </c>
      <c r="P74" s="545"/>
      <c r="Q74" s="546"/>
      <c r="R74" s="545"/>
      <c r="S74" s="546"/>
      <c r="T74" s="545">
        <v>169283</v>
      </c>
      <c r="U74" s="546">
        <v>210125</v>
      </c>
      <c r="V74" s="545"/>
      <c r="W74" s="546"/>
      <c r="X74" s="545"/>
      <c r="Y74" s="546"/>
      <c r="Z74" s="545"/>
      <c r="AA74" s="546"/>
      <c r="AB74" s="547">
        <v>169283</v>
      </c>
      <c r="AC74" s="84">
        <v>419674.31506849313</v>
      </c>
    </row>
    <row r="75" spans="1:29" s="1" customFormat="1" ht="12.75" thickBot="1">
      <c r="A75" s="435" t="s">
        <v>201</v>
      </c>
      <c r="B75" s="553">
        <v>9836</v>
      </c>
      <c r="C75" s="554"/>
      <c r="D75" s="553">
        <v>9836</v>
      </c>
      <c r="E75" s="554"/>
      <c r="F75" s="553">
        <v>9836</v>
      </c>
      <c r="G75" s="554"/>
      <c r="H75" s="553">
        <v>9836</v>
      </c>
      <c r="I75" s="554"/>
      <c r="J75" s="553">
        <v>9836</v>
      </c>
      <c r="K75" s="554"/>
      <c r="L75" s="553">
        <v>9836</v>
      </c>
      <c r="M75" s="554"/>
      <c r="N75" s="555">
        <v>59016</v>
      </c>
      <c r="O75" s="556">
        <v>0</v>
      </c>
      <c r="P75" s="553">
        <v>9836</v>
      </c>
      <c r="Q75" s="554"/>
      <c r="R75" s="553">
        <v>9836</v>
      </c>
      <c r="S75" s="554"/>
      <c r="T75" s="553">
        <v>9836</v>
      </c>
      <c r="U75" s="554"/>
      <c r="V75" s="553">
        <v>9836</v>
      </c>
      <c r="W75" s="554"/>
      <c r="X75" s="553">
        <v>9836</v>
      </c>
      <c r="Y75" s="554"/>
      <c r="Z75" s="553">
        <v>9836</v>
      </c>
      <c r="AA75" s="554"/>
      <c r="AB75" s="555">
        <v>118032</v>
      </c>
      <c r="AC75" s="556">
        <v>0</v>
      </c>
    </row>
    <row r="76" spans="1:29" s="42" customFormat="1" ht="12.75" thickBot="1">
      <c r="A76" s="30" t="s">
        <v>121</v>
      </c>
      <c r="B76" s="557">
        <v>2093585.69</v>
      </c>
      <c r="C76" s="558">
        <v>1790000.4353424655</v>
      </c>
      <c r="D76" s="557">
        <v>2114620.96</v>
      </c>
      <c r="E76" s="558">
        <v>927262.5753424658</v>
      </c>
      <c r="F76" s="557">
        <v>2135956.7</v>
      </c>
      <c r="G76" s="558">
        <v>1239289.744109589</v>
      </c>
      <c r="H76" s="557">
        <v>2529084.27</v>
      </c>
      <c r="I76" s="558">
        <v>1046551.7353424657</v>
      </c>
      <c r="J76" s="557">
        <v>2179437.29</v>
      </c>
      <c r="K76" s="558">
        <v>984634.2190410959</v>
      </c>
      <c r="L76" s="557">
        <v>2350717.7</v>
      </c>
      <c r="M76" s="558">
        <v>962053.82</v>
      </c>
      <c r="N76" s="557">
        <v>13403402.61</v>
      </c>
      <c r="O76" s="558">
        <v>6949792.529178082</v>
      </c>
      <c r="P76" s="557">
        <v>3636218.06</v>
      </c>
      <c r="Q76" s="558">
        <v>1769974.32</v>
      </c>
      <c r="R76" s="557">
        <v>2777963.14</v>
      </c>
      <c r="S76" s="558">
        <v>948365.89</v>
      </c>
      <c r="T76" s="557">
        <v>2690456.57</v>
      </c>
      <c r="U76" s="558">
        <v>1099727.21</v>
      </c>
      <c r="V76" s="557">
        <v>2547729.97</v>
      </c>
      <c r="W76" s="558">
        <v>866227.21</v>
      </c>
      <c r="X76" s="557">
        <v>2574479.33</v>
      </c>
      <c r="Y76" s="558">
        <v>837051.27</v>
      </c>
      <c r="Z76" s="557">
        <v>4738537.27</v>
      </c>
      <c r="AA76" s="558">
        <v>1137374.33</v>
      </c>
      <c r="AB76" s="557">
        <v>32368786.95</v>
      </c>
      <c r="AC76" s="558">
        <v>13608512.759178082</v>
      </c>
    </row>
    <row r="77" spans="1:29" s="295" customFormat="1" ht="6" customHeight="1" thickBot="1">
      <c r="A77" s="77"/>
      <c r="B77" s="600"/>
      <c r="C77" s="600"/>
      <c r="D77" s="600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</row>
    <row r="78" spans="1:29" ht="15.75" thickBot="1">
      <c r="A78" s="87" t="s">
        <v>93</v>
      </c>
      <c r="B78" s="557">
        <v>2670548.83</v>
      </c>
      <c r="C78" s="558">
        <v>1907606.0953424654</v>
      </c>
      <c r="D78" s="557">
        <v>2695721.34</v>
      </c>
      <c r="E78" s="558">
        <v>1037146.3053424658</v>
      </c>
      <c r="F78" s="557">
        <v>2718525.3</v>
      </c>
      <c r="G78" s="558">
        <v>1356058.814109589</v>
      </c>
      <c r="H78" s="557">
        <v>3117124.76</v>
      </c>
      <c r="I78" s="558">
        <v>1159648.8753424657</v>
      </c>
      <c r="J78" s="557">
        <v>2774551.49</v>
      </c>
      <c r="K78" s="558">
        <v>1101896.199041096</v>
      </c>
      <c r="L78" s="557">
        <v>3846427.068690193</v>
      </c>
      <c r="M78" s="558">
        <v>1109730.73</v>
      </c>
      <c r="N78" s="557">
        <v>17822898.788690194</v>
      </c>
      <c r="O78" s="558">
        <v>7672087.019178083</v>
      </c>
      <c r="P78" s="557">
        <v>4245345.92</v>
      </c>
      <c r="Q78" s="558">
        <v>1887928.16</v>
      </c>
      <c r="R78" s="557">
        <v>3394030.98</v>
      </c>
      <c r="S78" s="558">
        <v>1066617.2</v>
      </c>
      <c r="T78" s="557">
        <v>3316400.85</v>
      </c>
      <c r="U78" s="558">
        <v>1214969.56</v>
      </c>
      <c r="V78" s="557">
        <v>3180080.37</v>
      </c>
      <c r="W78" s="558">
        <v>985455.62</v>
      </c>
      <c r="X78" s="557">
        <v>3216439.25</v>
      </c>
      <c r="Y78" s="558">
        <v>953131.66</v>
      </c>
      <c r="Z78" s="557">
        <v>5392508.760000001</v>
      </c>
      <c r="AA78" s="558">
        <v>1258457.69</v>
      </c>
      <c r="AB78" s="557">
        <v>40567704.9186902</v>
      </c>
      <c r="AC78" s="558">
        <v>15038646.909178082</v>
      </c>
    </row>
    <row r="79" ht="12.75">
      <c r="AB79" s="669"/>
    </row>
    <row r="81" spans="1:30" ht="27" thickBot="1">
      <c r="A81" s="21"/>
      <c r="B81" s="21"/>
      <c r="C81" s="21"/>
      <c r="D81" s="21"/>
      <c r="E81" s="21"/>
      <c r="F81" s="21"/>
      <c r="G81" s="21"/>
      <c r="H81" s="22" t="s">
        <v>135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2" t="str">
        <f>H81</f>
        <v>AÑO 2013</v>
      </c>
      <c r="W81" s="21"/>
      <c r="X81" s="21"/>
      <c r="Y81" s="21"/>
      <c r="Z81" s="21"/>
      <c r="AA81" s="21"/>
      <c r="AB81" s="755"/>
      <c r="AC81" s="755"/>
      <c r="AD81" s="16" t="str">
        <f>V81</f>
        <v>AÑO 2013</v>
      </c>
    </row>
    <row r="82" spans="1:29" s="42" customFormat="1" ht="12.75" thickBot="1">
      <c r="A82" s="45" t="s">
        <v>96</v>
      </c>
      <c r="B82" s="44"/>
      <c r="C82" s="44"/>
      <c r="D82" s="44"/>
      <c r="E82" s="44"/>
      <c r="F82" s="44"/>
      <c r="G82" s="44"/>
      <c r="H82" s="44" t="s">
        <v>144</v>
      </c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 t="str">
        <f>H82</f>
        <v>TOMADOS EN DOLARES</v>
      </c>
      <c r="W82" s="44"/>
      <c r="X82" s="44"/>
      <c r="Y82" s="44"/>
      <c r="Z82" s="44"/>
      <c r="AA82" s="44"/>
      <c r="AB82" s="44"/>
      <c r="AC82" s="52"/>
    </row>
    <row r="83" spans="1:29" ht="12.75">
      <c r="A83" s="75" t="s">
        <v>122</v>
      </c>
      <c r="B83" s="69">
        <f>SUM(B84:B95)</f>
        <v>661712.52</v>
      </c>
      <c r="C83" s="70">
        <f>SUM(C84:C95)</f>
        <v>121392.48</v>
      </c>
      <c r="D83" s="69">
        <f aca="true" t="shared" si="0" ref="D83:M83">SUM(D84:D95)</f>
        <v>670254.05</v>
      </c>
      <c r="E83" s="70">
        <f t="shared" si="0"/>
        <v>110031.87000000001</v>
      </c>
      <c r="F83" s="69">
        <f t="shared" si="0"/>
        <v>676413.8</v>
      </c>
      <c r="G83" s="70">
        <f t="shared" si="0"/>
        <v>121791.53</v>
      </c>
      <c r="H83" s="69">
        <f t="shared" si="0"/>
        <v>679383.11</v>
      </c>
      <c r="I83" s="70">
        <f t="shared" si="0"/>
        <v>117263.41</v>
      </c>
      <c r="J83" s="69">
        <f t="shared" si="0"/>
        <v>682365.75</v>
      </c>
      <c r="K83" s="70">
        <f t="shared" si="0"/>
        <v>120544.97999999998</v>
      </c>
      <c r="L83" s="69">
        <f t="shared" si="0"/>
        <v>685361.1900000001</v>
      </c>
      <c r="M83" s="70">
        <f t="shared" si="0"/>
        <v>116041.95999999999</v>
      </c>
      <c r="N83" s="69">
        <f aca="true" t="shared" si="1" ref="N83:N96">B83+D83+F83+H83+J83+L83</f>
        <v>4055490.42</v>
      </c>
      <c r="O83" s="70">
        <f aca="true" t="shared" si="2" ref="O83:O96">C83+E83+G83+I83+K83+M83</f>
        <v>707066.23</v>
      </c>
      <c r="P83" s="69">
        <f aca="true" t="shared" si="3" ref="P83:AA83">SUM(P84:P95)</f>
        <v>688370.0700000001</v>
      </c>
      <c r="Q83" s="70">
        <f t="shared" si="3"/>
        <v>119267.22</v>
      </c>
      <c r="R83" s="69">
        <f t="shared" si="3"/>
        <v>691391.87</v>
      </c>
      <c r="S83" s="70">
        <f t="shared" si="3"/>
        <v>118616.23999999999</v>
      </c>
      <c r="T83" s="69">
        <f t="shared" si="3"/>
        <v>694427.2200000001</v>
      </c>
      <c r="U83" s="70">
        <f t="shared" si="3"/>
        <v>114152.29</v>
      </c>
      <c r="V83" s="69">
        <f t="shared" si="3"/>
        <v>697475.6099999999</v>
      </c>
      <c r="W83" s="70">
        <f t="shared" si="3"/>
        <v>117290.52</v>
      </c>
      <c r="X83" s="69">
        <f t="shared" si="3"/>
        <v>700537.6799999999</v>
      </c>
      <c r="Y83" s="70">
        <f t="shared" si="3"/>
        <v>112853.71</v>
      </c>
      <c r="Z83" s="69">
        <f t="shared" si="3"/>
        <v>703612.8400000001</v>
      </c>
      <c r="AA83" s="70">
        <f t="shared" si="3"/>
        <v>115932.37000000001</v>
      </c>
      <c r="AB83" s="69">
        <f aca="true" t="shared" si="4" ref="AB83:AB96">+N83+P83+R83+T83+V83+X83+Z83</f>
        <v>8231305.709999999</v>
      </c>
      <c r="AC83" s="70">
        <f aca="true" t="shared" si="5" ref="AC83:AC96">O83+Q83+S83+U83+W83+Y83+AA83</f>
        <v>1405178.58</v>
      </c>
    </row>
    <row r="84" spans="1:29" ht="12.75">
      <c r="A84" s="34" t="s">
        <v>1</v>
      </c>
      <c r="B84" s="67">
        <f>'[24]Flujo Vencimientos'!B$13</f>
        <v>71396.98000000001</v>
      </c>
      <c r="C84" s="68">
        <f>'[24]Flujo Vencimientos'!C$13</f>
        <v>13097.9</v>
      </c>
      <c r="D84" s="67">
        <f>'[24]Flujo Vencimientos'!D$13</f>
        <v>72318.56</v>
      </c>
      <c r="E84" s="68">
        <f>'[24]Flujo Vencimientos'!E$13</f>
        <v>11872.16</v>
      </c>
      <c r="F84" s="67">
        <f>'[24]Flujo Vencimientos'!F$13</f>
        <v>72983.20999999999</v>
      </c>
      <c r="G84" s="68">
        <f>'[24]Flujo Vencimientos'!G$13</f>
        <v>13140.960000000001</v>
      </c>
      <c r="H84" s="67">
        <f>'[24]Flujo Vencimientos'!H$13</f>
        <v>73303.56</v>
      </c>
      <c r="I84" s="68">
        <f>'[24]Flujo Vencimientos'!I$13</f>
        <v>12652.400000000001</v>
      </c>
      <c r="J84" s="67">
        <f>'[24]Flujo Vencimientos'!J$13</f>
        <v>73625.41</v>
      </c>
      <c r="K84" s="68">
        <f>'[24]Flujo Vencimientos'!K$13</f>
        <v>13006.470000000001</v>
      </c>
      <c r="L84" s="67">
        <f>'[24]Flujo Vencimientos'!L$13</f>
        <v>73948.58</v>
      </c>
      <c r="M84" s="68">
        <f>'[24]Flujo Vencimientos'!M$13</f>
        <v>12520.630000000001</v>
      </c>
      <c r="N84" s="73">
        <f t="shared" si="1"/>
        <v>437576.3</v>
      </c>
      <c r="O84" s="74">
        <f t="shared" si="2"/>
        <v>76290.52</v>
      </c>
      <c r="P84" s="67">
        <f>'[24]Flujo Vencimientos'!N$13</f>
        <v>74273.26000000001</v>
      </c>
      <c r="Q84" s="68">
        <f>'[24]Flujo Vencimientos'!O$13</f>
        <v>12868.6</v>
      </c>
      <c r="R84" s="67">
        <f>'[24]Flujo Vencimientos'!P$13</f>
        <v>74599.27</v>
      </c>
      <c r="S84" s="68">
        <f>'[24]Flujo Vencimientos'!Q$13</f>
        <v>12798.39</v>
      </c>
      <c r="T84" s="67">
        <f>'[24]Flujo Vencimientos'!R$13</f>
        <v>74926.81</v>
      </c>
      <c r="U84" s="68">
        <f>'[24]Flujo Vencimientos'!S$13</f>
        <v>12316.720000000001</v>
      </c>
      <c r="V84" s="67">
        <f>'[24]Flujo Vencimientos'!T$13</f>
        <v>75255.69</v>
      </c>
      <c r="W84" s="68">
        <f>'[24]Flujo Vencimientos'!U$13</f>
        <v>12655.349999999999</v>
      </c>
      <c r="X84" s="67">
        <f>'[24]Flujo Vencimientos'!V$13</f>
        <v>75586.11</v>
      </c>
      <c r="Y84" s="68">
        <f>'[24]Flujo Vencimientos'!W$13</f>
        <v>12176.62</v>
      </c>
      <c r="Z84" s="67">
        <f>'[24]Flujo Vencimientos'!X$13</f>
        <v>75917.88</v>
      </c>
      <c r="AA84" s="68">
        <f>'[24]Flujo Vencimientos'!Y$13</f>
        <v>12508.8</v>
      </c>
      <c r="AB84" s="73">
        <f t="shared" si="4"/>
        <v>888135.3199999998</v>
      </c>
      <c r="AC84" s="74">
        <f t="shared" si="5"/>
        <v>151615</v>
      </c>
    </row>
    <row r="85" spans="1:29" ht="12.75">
      <c r="A85" s="34" t="s">
        <v>21</v>
      </c>
      <c r="B85" s="67">
        <f>'[26]Flujo de Vencimientos'!B$13</f>
        <v>43211.4</v>
      </c>
      <c r="C85" s="68">
        <f>'[26]Flujo de Vencimientos'!C$13</f>
        <v>7927.2</v>
      </c>
      <c r="D85" s="67">
        <f>'[26]Flujo de Vencimientos'!D$13</f>
        <v>43769.189999999995</v>
      </c>
      <c r="E85" s="68">
        <f>'[26]Flujo de Vencimientos'!E$13</f>
        <v>7185.33</v>
      </c>
      <c r="F85" s="67">
        <f>'[26]Flujo de Vencimientos'!F$13</f>
        <v>44171.43</v>
      </c>
      <c r="G85" s="68">
        <f>'[26]Flujo de Vencimientos'!G$13</f>
        <v>7953.299999999999</v>
      </c>
      <c r="H85" s="67">
        <f>'[26]Flujo de Vencimientos'!H$13</f>
        <v>44365.34</v>
      </c>
      <c r="I85" s="68">
        <f>'[26]Flujo de Vencimientos'!I$13</f>
        <v>7657.59</v>
      </c>
      <c r="J85" s="67">
        <f>'[26]Flujo de Vencimientos'!J$13</f>
        <v>44560.1</v>
      </c>
      <c r="K85" s="68">
        <f>'[26]Flujo de Vencimientos'!K$13</f>
        <v>7871.889999999999</v>
      </c>
      <c r="L85" s="67">
        <f>'[26]Flujo de Vencimientos'!L$13</f>
        <v>44755.72</v>
      </c>
      <c r="M85" s="68">
        <f>'[26]Flujo de Vencimientos'!M$13</f>
        <v>7577.8</v>
      </c>
      <c r="N85" s="73">
        <f t="shared" si="1"/>
        <v>264833.18</v>
      </c>
      <c r="O85" s="74">
        <f t="shared" si="2"/>
        <v>46173.11</v>
      </c>
      <c r="P85" s="67">
        <f>'[26]Flujo de Vencimientos'!N$13</f>
        <v>44952.2</v>
      </c>
      <c r="Q85" s="68">
        <f>'[26]Flujo de Vencimientos'!O$13</f>
        <v>7788.4400000000005</v>
      </c>
      <c r="R85" s="67">
        <f>'[26]Flujo de Vencimientos'!P$13</f>
        <v>45149.54</v>
      </c>
      <c r="S85" s="68">
        <f>'[26]Flujo de Vencimientos'!Q$13</f>
        <v>7745.91</v>
      </c>
      <c r="T85" s="67">
        <f>'[26]Flujo de Vencimientos'!R$13</f>
        <v>45347.75</v>
      </c>
      <c r="U85" s="68">
        <f>'[26]Flujo de Vencimientos'!S$13</f>
        <v>7454.41</v>
      </c>
      <c r="V85" s="67">
        <f>'[26]Flujo de Vencimientos'!T$13</f>
        <v>45546.82</v>
      </c>
      <c r="W85" s="68">
        <f>'[26]Flujo de Vencimientos'!U$13</f>
        <v>7659.33</v>
      </c>
      <c r="X85" s="67">
        <f>'[26]Flujo de Vencimientos'!V$13</f>
        <v>45746.77</v>
      </c>
      <c r="Y85" s="68">
        <f>'[26]Flujo de Vencimientos'!W$13</f>
        <v>7369.62</v>
      </c>
      <c r="Z85" s="67">
        <f>'[26]Flujo de Vencimientos'!X$13</f>
        <v>45947.6</v>
      </c>
      <c r="AA85" s="68">
        <f>'[26]Flujo de Vencimientos'!Y$13</f>
        <v>7570.67</v>
      </c>
      <c r="AB85" s="73">
        <f t="shared" si="4"/>
        <v>537523.86</v>
      </c>
      <c r="AC85" s="74">
        <f t="shared" si="5"/>
        <v>91761.49</v>
      </c>
    </row>
    <row r="86" spans="1:29" ht="12.75">
      <c r="A86" s="34" t="s">
        <v>22</v>
      </c>
      <c r="B86" s="67">
        <f>'[41]Flujo Vencimientos'!B$13</f>
        <v>67981.57</v>
      </c>
      <c r="C86" s="68">
        <f>'[41]Flujo Vencimientos'!C$13</f>
        <v>12471.35</v>
      </c>
      <c r="D86" s="67">
        <f>'[41]Flujo Vencimientos'!D$13</f>
        <v>68859.05</v>
      </c>
      <c r="E86" s="68">
        <f>'[41]Flujo Vencimientos'!E$13</f>
        <v>11304.220000000001</v>
      </c>
      <c r="F86" s="67">
        <f>'[41]Flujo Vencimientos'!F$13</f>
        <v>69491.91</v>
      </c>
      <c r="G86" s="68">
        <f>'[41]Flujo Vencimientos'!G$13</f>
        <v>12512.35</v>
      </c>
      <c r="H86" s="67">
        <f>'[41]Flujo Vencimientos'!H$13</f>
        <v>69796.93</v>
      </c>
      <c r="I86" s="68">
        <f>'[41]Flujo Vencimientos'!I$13</f>
        <v>12047.15</v>
      </c>
      <c r="J86" s="67">
        <f>'[41]Flujo Vencimientos'!J$13</f>
        <v>70103.39</v>
      </c>
      <c r="K86" s="68">
        <f>'[41]Flujo Vencimientos'!K$13</f>
        <v>12384.3</v>
      </c>
      <c r="L86" s="67">
        <f>'[41]Flujo Vencimientos'!L$13</f>
        <v>70411.1</v>
      </c>
      <c r="M86" s="68">
        <f>'[41]Flujo Vencimientos'!M$13</f>
        <v>11921.66</v>
      </c>
      <c r="N86" s="73">
        <f t="shared" si="1"/>
        <v>416643.94999999995</v>
      </c>
      <c r="O86" s="74">
        <f t="shared" si="2"/>
        <v>72641.03</v>
      </c>
      <c r="P86" s="67">
        <f>'[41]Flujo Vencimientos'!N$13</f>
        <v>70720.25</v>
      </c>
      <c r="Q86" s="68">
        <f>'[41]Flujo Vencimientos'!O$13</f>
        <v>12253.03</v>
      </c>
      <c r="R86" s="67">
        <f>'[41]Flujo Vencimientos'!P$13</f>
        <v>71030.66</v>
      </c>
      <c r="S86" s="68">
        <f>'[41]Flujo Vencimientos'!Q$13</f>
        <v>12186.12</v>
      </c>
      <c r="T86" s="67">
        <f>'[41]Flujo Vencimientos'!R$13</f>
        <v>71342.54000000001</v>
      </c>
      <c r="U86" s="68">
        <f>'[41]Flujo Vencimientos'!S$13</f>
        <v>11727.52</v>
      </c>
      <c r="V86" s="67">
        <f>'[41]Flujo Vencimientos'!T$13</f>
        <v>71655.68</v>
      </c>
      <c r="W86" s="68">
        <f>'[41]Flujo Vencimientos'!U$13</f>
        <v>12049.92</v>
      </c>
      <c r="X86" s="67">
        <f>'[41]Flujo Vencimientos'!V$13</f>
        <v>71970.3</v>
      </c>
      <c r="Y86" s="68">
        <f>'[41]Flujo Vencimientos'!W$13</f>
        <v>11594.1</v>
      </c>
      <c r="Z86" s="67">
        <f>'[41]Flujo Vencimientos'!X$13</f>
        <v>72286.2</v>
      </c>
      <c r="AA86" s="68">
        <f>'[41]Flujo Vencimientos'!Y$13</f>
        <v>11910.380000000001</v>
      </c>
      <c r="AB86" s="73">
        <f t="shared" si="4"/>
        <v>845649.5800000001</v>
      </c>
      <c r="AC86" s="74">
        <f t="shared" si="5"/>
        <v>144362.1</v>
      </c>
    </row>
    <row r="87" spans="1:29" ht="12.75">
      <c r="A87" s="34" t="s">
        <v>16</v>
      </c>
      <c r="B87" s="67">
        <f>'[39]Flujo Vencimiento'!B$13</f>
        <v>145677.84</v>
      </c>
      <c r="C87" s="68">
        <f>'[39]Flujo Vencimiento'!C$13</f>
        <v>26724.910000000003</v>
      </c>
      <c r="D87" s="67">
        <f>'[39]Flujo Vencimiento'!D$13</f>
        <v>147558.26</v>
      </c>
      <c r="E87" s="68">
        <f>'[39]Flujo Vencimiento'!E$13</f>
        <v>24223.82</v>
      </c>
      <c r="F87" s="67">
        <f>'[39]Flujo Vencimiento'!F$13</f>
        <v>148914.37</v>
      </c>
      <c r="G87" s="68">
        <f>'[39]Flujo Vencimiento'!G$13</f>
        <v>26812.75</v>
      </c>
      <c r="H87" s="67">
        <f>'[39]Flujo Vencimiento'!H$13</f>
        <v>149568.05</v>
      </c>
      <c r="I87" s="68">
        <f>'[39]Flujo Vencimiento'!I$13</f>
        <v>25815.87</v>
      </c>
      <c r="J87" s="67">
        <f>'[39]Flujo Vencimiento'!J$13</f>
        <v>150224.7</v>
      </c>
      <c r="K87" s="68">
        <f>'[39]Flujo Vencimiento'!K$13</f>
        <v>26538.329999999998</v>
      </c>
      <c r="L87" s="67">
        <f>'[39]Flujo Vencimiento'!L$13</f>
        <v>150884.14</v>
      </c>
      <c r="M87" s="68">
        <f>'[39]Flujo Vencimiento'!M$13</f>
        <v>25546.97</v>
      </c>
      <c r="N87" s="73">
        <f t="shared" si="1"/>
        <v>892827.36</v>
      </c>
      <c r="O87" s="74">
        <f t="shared" si="2"/>
        <v>155662.65000000002</v>
      </c>
      <c r="P87" s="67">
        <f>'[39]Flujo Vencimiento'!N$13</f>
        <v>151546.57</v>
      </c>
      <c r="Q87" s="68">
        <f>'[39]Flujo Vencimiento'!O$13</f>
        <v>26257</v>
      </c>
      <c r="R87" s="67">
        <f>'[39]Flujo Vencimiento'!P$13</f>
        <v>152211.81</v>
      </c>
      <c r="S87" s="68">
        <f>'[39]Flujo Vencimiento'!Q$13</f>
        <v>26113.72</v>
      </c>
      <c r="T87" s="67">
        <f>'[39]Flujo Vencimiento'!R$13</f>
        <v>152880.07</v>
      </c>
      <c r="U87" s="68">
        <f>'[39]Flujo Vencimiento'!S$13</f>
        <v>25130.97</v>
      </c>
      <c r="V87" s="67">
        <f>'[39]Flujo Vencimiento'!T$13</f>
        <v>153551.16</v>
      </c>
      <c r="W87" s="68">
        <f>'[39]Flujo Vencimiento'!U$13</f>
        <v>25821.85</v>
      </c>
      <c r="X87" s="67">
        <f>'[39]Flujo Vencimiento'!V$13</f>
        <v>154225.31</v>
      </c>
      <c r="Y87" s="68">
        <f>'[39]Flujo Vencimiento'!W$13</f>
        <v>24845.06</v>
      </c>
      <c r="Z87" s="67">
        <f>'[39]Flujo Vencimiento'!X$13</f>
        <v>154902.3</v>
      </c>
      <c r="AA87" s="68">
        <f>'[39]Flujo Vencimiento'!Y$13</f>
        <v>25522.81</v>
      </c>
      <c r="AB87" s="73">
        <f t="shared" si="4"/>
        <v>1812144.58</v>
      </c>
      <c r="AC87" s="74">
        <f t="shared" si="5"/>
        <v>309354.06000000006</v>
      </c>
    </row>
    <row r="88" spans="1:29" ht="12.75">
      <c r="A88" s="34" t="s">
        <v>15</v>
      </c>
      <c r="B88" s="67">
        <f>'[36]Flujo de Vencimientos'!B$13</f>
        <v>14235.26</v>
      </c>
      <c r="C88" s="68">
        <f>'[36]Flujo de Vencimientos'!C$13</f>
        <v>2611.4800000000005</v>
      </c>
      <c r="D88" s="67">
        <f>'[36]Flujo de Vencimientos'!D$13</f>
        <v>14419.02</v>
      </c>
      <c r="E88" s="68">
        <f>'[36]Flujo de Vencimientos'!E$13</f>
        <v>2367.07</v>
      </c>
      <c r="F88" s="67">
        <f>'[36]Flujo de Vencimientos'!F$13</f>
        <v>14551.53</v>
      </c>
      <c r="G88" s="68">
        <f>'[36]Flujo de Vencimientos'!G$13</f>
        <v>2620.08</v>
      </c>
      <c r="H88" s="67">
        <f>'[36]Flujo de Vencimientos'!H$13</f>
        <v>14615.41</v>
      </c>
      <c r="I88" s="68">
        <f>'[36]Flujo de Vencimientos'!I$13</f>
        <v>2522.65</v>
      </c>
      <c r="J88" s="67">
        <f>'[36]Flujo de Vencimientos'!J$13</f>
        <v>14679.57</v>
      </c>
      <c r="K88" s="68">
        <f>'[36]Flujo de Vencimientos'!K$13</f>
        <v>2593.2400000000002</v>
      </c>
      <c r="L88" s="67">
        <f>'[36]Flujo de Vencimientos'!L$13</f>
        <v>14744.01</v>
      </c>
      <c r="M88" s="68">
        <f>'[36]Flujo de Vencimientos'!M$13</f>
        <v>2496.37</v>
      </c>
      <c r="N88" s="73">
        <f t="shared" si="1"/>
        <v>87244.8</v>
      </c>
      <c r="O88" s="74">
        <f t="shared" si="2"/>
        <v>15210.89</v>
      </c>
      <c r="P88" s="67">
        <f>'[36]Flujo de Vencimientos'!N$13</f>
        <v>14808.74</v>
      </c>
      <c r="Q88" s="68">
        <f>'[36]Flujo de Vencimientos'!O$13</f>
        <v>2565.77</v>
      </c>
      <c r="R88" s="67">
        <f>'[36]Flujo de Vencimientos'!P$13</f>
        <v>14873.75</v>
      </c>
      <c r="S88" s="68">
        <f>'[36]Flujo de Vencimientos'!Q$13</f>
        <v>2551.75</v>
      </c>
      <c r="T88" s="67">
        <f>'[36]Flujo de Vencimientos'!R$13</f>
        <v>14939.04</v>
      </c>
      <c r="U88" s="68">
        <f>'[36]Flujo de Vencimientos'!S$13</f>
        <v>2455.7200000000003</v>
      </c>
      <c r="V88" s="67">
        <f>'[36]Flujo de Vencimientos'!T$13</f>
        <v>15004.63</v>
      </c>
      <c r="W88" s="68">
        <f>'[36]Flujo de Vencimientos'!U$13</f>
        <v>2523.25</v>
      </c>
      <c r="X88" s="67">
        <f>'[36]Flujo de Vencimientos'!V$13</f>
        <v>15070.5</v>
      </c>
      <c r="Y88" s="68">
        <f>'[36]Flujo de Vencimientos'!W$13</f>
        <v>2427.7799999999997</v>
      </c>
      <c r="Z88" s="67">
        <f>'[36]Flujo de Vencimientos'!X$13</f>
        <v>15136.66</v>
      </c>
      <c r="AA88" s="68">
        <f>'[36]Flujo de Vencimientos'!Y$13</f>
        <v>2494.05</v>
      </c>
      <c r="AB88" s="73">
        <f t="shared" si="4"/>
        <v>177078.12000000002</v>
      </c>
      <c r="AC88" s="74">
        <f t="shared" si="5"/>
        <v>30229.21</v>
      </c>
    </row>
    <row r="89" spans="1:29" ht="12.75">
      <c r="A89" s="34" t="s">
        <v>14</v>
      </c>
      <c r="B89" s="67">
        <f>'[34]Flujo de Vencimiento'!B$13</f>
        <v>9240.37</v>
      </c>
      <c r="C89" s="68">
        <f>'[34]Flujo de Vencimiento'!C$13</f>
        <v>1695.1399999999999</v>
      </c>
      <c r="D89" s="67">
        <f>'[34]Flujo de Vencimiento'!D$13</f>
        <v>9359.6</v>
      </c>
      <c r="E89" s="68">
        <f>'[34]Flujo de Vencimiento'!E$13</f>
        <v>1536.53</v>
      </c>
      <c r="F89" s="67">
        <f>'[34]Flujo de Vencimiento'!F$13</f>
        <v>9445.67</v>
      </c>
      <c r="G89" s="68">
        <f>'[34]Flujo de Vencimiento'!G$13</f>
        <v>1700.72</v>
      </c>
      <c r="H89" s="67">
        <f>'[34]Flujo de Vencimiento'!H$13</f>
        <v>9487.08</v>
      </c>
      <c r="I89" s="68">
        <f>'[34]Flujo de Vencimiento'!I$13</f>
        <v>1637.48</v>
      </c>
      <c r="J89" s="67">
        <f>'[34]Flujo de Vencimiento'!J$13</f>
        <v>9528.78</v>
      </c>
      <c r="K89" s="68">
        <f>'[34]Flujo de Vencimiento'!K$13</f>
        <v>1683.32</v>
      </c>
      <c r="L89" s="67">
        <f>'[34]Flujo de Vencimiento'!L$13</f>
        <v>9570.56</v>
      </c>
      <c r="M89" s="68">
        <f>'[34]Flujo de Vencimiento'!M$13</f>
        <v>1620.46</v>
      </c>
      <c r="N89" s="73">
        <f t="shared" si="1"/>
        <v>56632.06</v>
      </c>
      <c r="O89" s="74">
        <f t="shared" si="2"/>
        <v>9873.650000000001</v>
      </c>
      <c r="P89" s="67">
        <f>'[34]Flujo de Vencimiento'!N$13</f>
        <v>9612.63</v>
      </c>
      <c r="Q89" s="68">
        <f>'[34]Flujo de Vencimiento'!O$13</f>
        <v>1665.48</v>
      </c>
      <c r="R89" s="67">
        <f>'[34]Flujo de Vencimiento'!P$13</f>
        <v>9654.78</v>
      </c>
      <c r="S89" s="68">
        <f>'[34]Flujo de Vencimiento'!Q$13</f>
        <v>1656.3700000000001</v>
      </c>
      <c r="T89" s="67">
        <f>'[34]Flujo de Vencimiento'!R$13</f>
        <v>9697.21</v>
      </c>
      <c r="U89" s="68">
        <f>'[34]Flujo de Vencimiento'!S$13</f>
        <v>1594.08</v>
      </c>
      <c r="V89" s="67">
        <f>'[34]Flujo de Vencimiento'!T$13</f>
        <v>9739.73</v>
      </c>
      <c r="W89" s="68">
        <f>'[34]Flujo de Vencimiento'!U$13</f>
        <v>1637.8700000000001</v>
      </c>
      <c r="X89" s="67">
        <f>'[34]Flujo de Vencimiento'!V$13</f>
        <v>9782.54</v>
      </c>
      <c r="Y89" s="68">
        <f>'[34]Flujo de Vencimiento'!W$13</f>
        <v>1575.93</v>
      </c>
      <c r="Z89" s="67">
        <f>'[34]Flujo de Vencimiento'!X$13</f>
        <v>9825.43</v>
      </c>
      <c r="AA89" s="68">
        <f>'[34]Flujo de Vencimiento'!Y$13</f>
        <v>1618.9099999999999</v>
      </c>
      <c r="AB89" s="73">
        <f t="shared" si="4"/>
        <v>114944.37999999998</v>
      </c>
      <c r="AC89" s="74">
        <f t="shared" si="5"/>
        <v>19622.29</v>
      </c>
    </row>
    <row r="90" spans="1:29" ht="12.75">
      <c r="A90" s="34" t="s">
        <v>13</v>
      </c>
      <c r="B90" s="67">
        <f>'[32]Flujo de Vencimientos'!B$13</f>
        <v>34277.68</v>
      </c>
      <c r="C90" s="68">
        <f>'[32]Flujo de Vencimientos'!C$13</f>
        <v>6288.33</v>
      </c>
      <c r="D90" s="67">
        <f>'[32]Flujo de Vencimientos'!D$13</f>
        <v>34720.200000000004</v>
      </c>
      <c r="E90" s="68">
        <f>'[32]Flujo de Vencimientos'!E$13</f>
        <v>5699.820000000001</v>
      </c>
      <c r="F90" s="67">
        <f>'[32]Flujo de Vencimientos'!F$13</f>
        <v>35039.229999999996</v>
      </c>
      <c r="G90" s="68">
        <f>'[32]Flujo de Vencimientos'!G$13</f>
        <v>6308.99</v>
      </c>
      <c r="H90" s="67">
        <f>'[32]Flujo de Vencimientos'!H$13</f>
        <v>35193.1</v>
      </c>
      <c r="I90" s="68">
        <f>'[32]Flujo de Vencimientos'!I$13</f>
        <v>6074.43</v>
      </c>
      <c r="J90" s="67">
        <f>'[32]Flujo de Vencimientos'!J$13</f>
        <v>35347.549999999996</v>
      </c>
      <c r="K90" s="68">
        <f>'[32]Flujo de Vencimientos'!K$13</f>
        <v>6244.400000000001</v>
      </c>
      <c r="L90" s="67">
        <f>'[32]Flujo de Vencimientos'!L$13</f>
        <v>35502.770000000004</v>
      </c>
      <c r="M90" s="68">
        <f>'[32]Flujo de Vencimientos'!M$13</f>
        <v>6011.15</v>
      </c>
      <c r="N90" s="73">
        <f t="shared" si="1"/>
        <v>210080.52999999997</v>
      </c>
      <c r="O90" s="74">
        <f t="shared" si="2"/>
        <v>36627.12</v>
      </c>
      <c r="P90" s="67">
        <f>'[32]Flujo de Vencimientos'!N$13</f>
        <v>35658.58</v>
      </c>
      <c r="Q90" s="68">
        <f>'[32]Flujo de Vencimientos'!O$13</f>
        <v>6178.1900000000005</v>
      </c>
      <c r="R90" s="67">
        <f>'[32]Flujo de Vencimientos'!P$13</f>
        <v>35815.17</v>
      </c>
      <c r="S90" s="68">
        <f>'[32]Flujo de Vencimientos'!Q$13</f>
        <v>6144.5</v>
      </c>
      <c r="T90" s="67">
        <f>'[32]Flujo de Vencimientos'!R$13</f>
        <v>35972.35</v>
      </c>
      <c r="U90" s="68">
        <f>'[32]Flujo de Vencimientos'!S$13</f>
        <v>5913.24</v>
      </c>
      <c r="V90" s="67">
        <f>'[32]Flujo de Vencimientos'!T$13</f>
        <v>36130.32</v>
      </c>
      <c r="W90" s="68">
        <f>'[32]Flujo de Vencimientos'!U$13</f>
        <v>6075.8099999999995</v>
      </c>
      <c r="X90" s="67">
        <f>'[32]Flujo de Vencimientos'!V$13</f>
        <v>36288.88</v>
      </c>
      <c r="Y90" s="68">
        <f>'[32]Flujo de Vencimientos'!W$13</f>
        <v>5845.97</v>
      </c>
      <c r="Z90" s="67">
        <f>'[32]Flujo de Vencimientos'!X$13</f>
        <v>36448.24</v>
      </c>
      <c r="AA90" s="68">
        <f>'[32]Flujo de Vencimientos'!Y$13</f>
        <v>6005.490000000001</v>
      </c>
      <c r="AB90" s="73">
        <f t="shared" si="4"/>
        <v>426394.06999999995</v>
      </c>
      <c r="AC90" s="74">
        <f t="shared" si="5"/>
        <v>72790.32</v>
      </c>
    </row>
    <row r="91" spans="1:29" ht="12.75">
      <c r="A91" s="34" t="s">
        <v>84</v>
      </c>
      <c r="B91" s="67">
        <f>'[18]Flujo Vencimientos'!B$13</f>
        <v>31977.120000000003</v>
      </c>
      <c r="C91" s="68">
        <f>'[18]Flujo Vencimientos'!C$13</f>
        <v>5866.26</v>
      </c>
      <c r="D91" s="67">
        <f>'[18]Flujo Vencimientos'!D$13</f>
        <v>32389.89</v>
      </c>
      <c r="E91" s="68">
        <f>'[18]Flujo Vencimientos'!E$13</f>
        <v>5317.24</v>
      </c>
      <c r="F91" s="67">
        <f>'[18]Flujo Vencimientos'!F$13</f>
        <v>32687.550000000003</v>
      </c>
      <c r="G91" s="68">
        <f>'[18]Flujo Vencimientos'!G$13</f>
        <v>5885.54</v>
      </c>
      <c r="H91" s="67">
        <f>'[18]Flujo Vencimientos'!H$13</f>
        <v>32831.05</v>
      </c>
      <c r="I91" s="68">
        <f>'[18]Flujo Vencimientos'!I$13</f>
        <v>5666.740000000001</v>
      </c>
      <c r="J91" s="67">
        <f>'[18]Flujo Vencimientos'!J$13</f>
        <v>32975.18</v>
      </c>
      <c r="K91" s="68">
        <f>'[18]Flujo Vencimientos'!K$13</f>
        <v>5825.3099999999995</v>
      </c>
      <c r="L91" s="67">
        <f>'[18]Flujo Vencimientos'!L$13</f>
        <v>33119.94</v>
      </c>
      <c r="M91" s="68">
        <f>'[18]Flujo Vencimientos'!M$13</f>
        <v>5607.68</v>
      </c>
      <c r="N91" s="83">
        <f t="shared" si="1"/>
        <v>195980.73</v>
      </c>
      <c r="O91" s="74">
        <f t="shared" si="2"/>
        <v>34168.770000000004</v>
      </c>
      <c r="P91" s="67">
        <f>'[18]Flujo Vencimientos'!N$13</f>
        <v>33265.340000000004</v>
      </c>
      <c r="Q91" s="68">
        <f>'[18]Flujo Vencimientos'!O$13</f>
        <v>5763.56</v>
      </c>
      <c r="R91" s="67">
        <f>'[18]Flujo Vencimientos'!P$13</f>
        <v>33411.37</v>
      </c>
      <c r="S91" s="68">
        <f>'[18]Flujo Vencimientos'!Q$13</f>
        <v>5732.09</v>
      </c>
      <c r="T91" s="67">
        <f>'[18]Flujo Vencimientos'!R$13</f>
        <v>33558.05</v>
      </c>
      <c r="U91" s="68">
        <f>'[18]Flujo Vencimientos'!S$13</f>
        <v>5516.4</v>
      </c>
      <c r="V91" s="67">
        <f>'[18]Flujo Vencimientos'!T$13</f>
        <v>33705.37</v>
      </c>
      <c r="W91" s="68">
        <f>'[18]Flujo Vencimientos'!U$13</f>
        <v>5668.03</v>
      </c>
      <c r="X91" s="67">
        <f>'[18]Flujo Vencimientos'!V$13</f>
        <v>33853.33</v>
      </c>
      <c r="Y91" s="68">
        <f>'[18]Flujo Vencimientos'!W$13</f>
        <v>5453.61</v>
      </c>
      <c r="Z91" s="67">
        <f>'[18]Flujo Vencimientos'!X$13</f>
        <v>34001.95</v>
      </c>
      <c r="AA91" s="68">
        <f>'[18]Flujo Vencimientos'!Y$13</f>
        <v>5602.39</v>
      </c>
      <c r="AB91" s="73">
        <f t="shared" si="4"/>
        <v>397776.14</v>
      </c>
      <c r="AC91" s="74">
        <f t="shared" si="5"/>
        <v>67904.85</v>
      </c>
    </row>
    <row r="92" spans="1:29" ht="12.75">
      <c r="A92" s="34" t="s">
        <v>105</v>
      </c>
      <c r="B92" s="67">
        <f>'[11]Flujo Vencimientos'!B$13</f>
        <v>51140.13</v>
      </c>
      <c r="C92" s="68">
        <f>'[11]Flujo Vencimientos'!C$13</f>
        <v>9381.779999999999</v>
      </c>
      <c r="D92" s="67">
        <f>'[11]Flujo Vencimientos'!D$13</f>
        <v>51800.27</v>
      </c>
      <c r="E92" s="68">
        <f>'[11]Flujo Vencimientos'!E$13</f>
        <v>8503.75</v>
      </c>
      <c r="F92" s="67">
        <f>'[11]Flujo Vencimientos'!F$13</f>
        <v>52276.31</v>
      </c>
      <c r="G92" s="68">
        <f>'[11]Flujo Vencimientos'!G$13</f>
        <v>9412.619999999999</v>
      </c>
      <c r="H92" s="67">
        <f>'[11]Flujo Vencimientos'!H$13</f>
        <v>52505.81</v>
      </c>
      <c r="I92" s="68">
        <f>'[11]Flujo Vencimientos'!I$13</f>
        <v>9062.64</v>
      </c>
      <c r="J92" s="67">
        <f>'[11]Flujo Vencimientos'!J$13</f>
        <v>52736.31</v>
      </c>
      <c r="K92" s="68">
        <f>'[11]Flujo Vencimientos'!K$13</f>
        <v>9316.24</v>
      </c>
      <c r="L92" s="67">
        <f>'[11]Flujo Vencimientos'!L$13</f>
        <v>52967.82</v>
      </c>
      <c r="M92" s="68">
        <f>'[11]Flujo Vencimientos'!M$13</f>
        <v>8968.26</v>
      </c>
      <c r="N92" s="73">
        <f t="shared" si="1"/>
        <v>313426.64999999997</v>
      </c>
      <c r="O92" s="84">
        <f t="shared" si="2"/>
        <v>54645.28999999999</v>
      </c>
      <c r="P92" s="67">
        <f>'[11]Flujo Vencimientos'!N$13</f>
        <v>53200.35</v>
      </c>
      <c r="Q92" s="68">
        <f>'[11]Flujo Vencimientos'!O$13</f>
        <v>9217.49</v>
      </c>
      <c r="R92" s="67">
        <f>'[11]Flujo Vencimientos'!P$13</f>
        <v>53433.9</v>
      </c>
      <c r="S92" s="68">
        <f>'[11]Flujo Vencimientos'!Q$13</f>
        <v>9167.2</v>
      </c>
      <c r="T92" s="67">
        <f>'[11]Flujo Vencimientos'!R$13</f>
        <v>53668.47</v>
      </c>
      <c r="U92" s="68">
        <f>'[11]Flujo Vencimientos'!S$13</f>
        <v>8822.2</v>
      </c>
      <c r="V92" s="67">
        <f>'[11]Flujo Vencimientos'!T$13</f>
        <v>53904.08</v>
      </c>
      <c r="W92" s="68">
        <f>'[11]Flujo Vencimientos'!U$13</f>
        <v>9064.75</v>
      </c>
      <c r="X92" s="67">
        <f>'[11]Flujo Vencimientos'!V$13</f>
        <v>54140.72</v>
      </c>
      <c r="Y92" s="68">
        <f>'[11]Flujo Vencimientos'!W$13</f>
        <v>8721.84</v>
      </c>
      <c r="Z92" s="67">
        <f>'[11]Flujo Vencimientos'!X$13</f>
        <v>54378.4</v>
      </c>
      <c r="AA92" s="68">
        <f>'[11]Flujo Vencimientos'!Y$13</f>
        <v>8959.78</v>
      </c>
      <c r="AB92" s="73">
        <f t="shared" si="4"/>
        <v>636152.57</v>
      </c>
      <c r="AC92" s="74">
        <f t="shared" si="5"/>
        <v>108598.54999999999</v>
      </c>
    </row>
    <row r="93" spans="1:29" ht="12.75">
      <c r="A93" s="34" t="s">
        <v>4</v>
      </c>
      <c r="B93" s="67">
        <f>'[9]Flujo de Vencimientos'!B$13</f>
        <v>38344.87</v>
      </c>
      <c r="C93" s="68">
        <f>'[9]Flujo de Vencimientos'!C$13</f>
        <v>7034.459999999999</v>
      </c>
      <c r="D93" s="67">
        <f>'[9]Flujo de Vencimientos'!D$13</f>
        <v>38839.9</v>
      </c>
      <c r="E93" s="68">
        <f>'[9]Flujo de Vencimientos'!E$13</f>
        <v>6376.13</v>
      </c>
      <c r="F93" s="67">
        <f>'[9]Flujo de Vencimientos'!F$13</f>
        <v>39196.78</v>
      </c>
      <c r="G93" s="68">
        <f>'[9]Flujo de Vencimientos'!G$13</f>
        <v>7057.55</v>
      </c>
      <c r="H93" s="67">
        <f>'[9]Flujo de Vencimientos'!H$13</f>
        <v>39368.909999999996</v>
      </c>
      <c r="I93" s="68">
        <f>'[9]Flujo de Vencimientos'!I$13</f>
        <v>6795.18</v>
      </c>
      <c r="J93" s="67">
        <f>'[9]Flujo de Vencimientos'!J$13</f>
        <v>39541.69</v>
      </c>
      <c r="K93" s="68">
        <f>'[9]Flujo de Vencimientos'!K$13</f>
        <v>6985.34</v>
      </c>
      <c r="L93" s="67">
        <f>'[9]Flujo de Vencimientos'!L$13</f>
        <v>39715.33</v>
      </c>
      <c r="M93" s="68">
        <f>'[9]Flujo de Vencimientos'!M$13</f>
        <v>6724.38</v>
      </c>
      <c r="N93" s="73">
        <f t="shared" si="1"/>
        <v>235007.47999999998</v>
      </c>
      <c r="O93" s="84">
        <f t="shared" si="2"/>
        <v>40973.04</v>
      </c>
      <c r="P93" s="67">
        <f>'[9]Flujo de Vencimientos'!N$13</f>
        <v>39889.62</v>
      </c>
      <c r="Q93" s="68">
        <f>'[9]Flujo de Vencimientos'!O$13</f>
        <v>6911.32</v>
      </c>
      <c r="R93" s="67">
        <f>'[9]Flujo de Vencimientos'!P$13</f>
        <v>40064.79</v>
      </c>
      <c r="S93" s="68">
        <f>'[9]Flujo de Vencimientos'!Q$13</f>
        <v>6873.59</v>
      </c>
      <c r="T93" s="67">
        <f>'[9]Flujo de Vencimientos'!R$13</f>
        <v>40240.62</v>
      </c>
      <c r="U93" s="68">
        <f>'[9]Flujo de Vencimientos'!S$13</f>
        <v>6614.88</v>
      </c>
      <c r="V93" s="67">
        <f>'[9]Flujo de Vencimientos'!T$13</f>
        <v>40417.33</v>
      </c>
      <c r="W93" s="68">
        <f>'[9]Flujo de Vencimientos'!U$13</f>
        <v>6796.73</v>
      </c>
      <c r="X93" s="67">
        <f>'[9]Flujo de Vencimientos'!V$13</f>
        <v>40594.71</v>
      </c>
      <c r="Y93" s="68">
        <f>'[9]Flujo de Vencimientos'!W$13</f>
        <v>6539.66</v>
      </c>
      <c r="Z93" s="67">
        <f>'[9]Flujo de Vencimientos'!X$13</f>
        <v>40772.979999999996</v>
      </c>
      <c r="AA93" s="68">
        <f>'[9]Flujo de Vencimientos'!Y$13</f>
        <v>6718.04</v>
      </c>
      <c r="AB93" s="73">
        <f t="shared" si="4"/>
        <v>476987.52999999997</v>
      </c>
      <c r="AC93" s="74">
        <f t="shared" si="5"/>
        <v>81427.26</v>
      </c>
    </row>
    <row r="94" spans="1:29" ht="12.75">
      <c r="A94" s="34" t="s">
        <v>10</v>
      </c>
      <c r="B94" s="67">
        <f>'[7]Flujo vencimientos'!B$13</f>
        <v>11680.9</v>
      </c>
      <c r="C94" s="68">
        <f>'[7]Flujo vencimientos'!C$13</f>
        <v>2142.9</v>
      </c>
      <c r="D94" s="67">
        <f>'[7]Flujo vencimientos'!D$13</f>
        <v>11831.679999999998</v>
      </c>
      <c r="E94" s="68">
        <f>'[7]Flujo vencimientos'!E$13</f>
        <v>1942.36</v>
      </c>
      <c r="F94" s="67">
        <f>'[7]Flujo vencimientos'!F$13</f>
        <v>11940.41</v>
      </c>
      <c r="G94" s="68">
        <f>'[7]Flujo vencimientos'!G$13</f>
        <v>2149.91</v>
      </c>
      <c r="H94" s="67">
        <f>'[7]Flujo vencimientos'!H$13</f>
        <v>11992.83</v>
      </c>
      <c r="I94" s="68">
        <f>'[7]Flujo vencimientos'!I$13</f>
        <v>2070.0099999999998</v>
      </c>
      <c r="J94" s="67">
        <f>'[7]Flujo vencimientos'!J$13</f>
        <v>12045.48</v>
      </c>
      <c r="K94" s="68">
        <f>'[7]Flujo vencimientos'!K$13</f>
        <v>2127.93</v>
      </c>
      <c r="L94" s="67">
        <f>'[7]Flujo vencimientos'!L$13</f>
        <v>12098.359999999999</v>
      </c>
      <c r="M94" s="68">
        <f>'[7]Flujo vencimientos'!M$13</f>
        <v>2048.43</v>
      </c>
      <c r="N94" s="73">
        <f t="shared" si="1"/>
        <v>71589.66</v>
      </c>
      <c r="O94" s="84">
        <f t="shared" si="2"/>
        <v>12481.54</v>
      </c>
      <c r="P94" s="67">
        <f>'[7]Flujo vencimientos'!N$13</f>
        <v>12151.47</v>
      </c>
      <c r="Q94" s="68">
        <f>'[7]Flujo vencimientos'!O$13</f>
        <v>2105.39</v>
      </c>
      <c r="R94" s="67">
        <f>'[7]Flujo vencimientos'!P$13</f>
        <v>12204.82</v>
      </c>
      <c r="S94" s="68">
        <f>'[7]Flujo vencimientos'!Q$13</f>
        <v>2093.86</v>
      </c>
      <c r="T94" s="67">
        <f>'[7]Flujo vencimientos'!R$13</f>
        <v>12258.4</v>
      </c>
      <c r="U94" s="68">
        <f>'[7]Flujo vencimientos'!S$13</f>
        <v>2015.0600000000002</v>
      </c>
      <c r="V94" s="67">
        <f>'[7]Flujo vencimientos'!T$13</f>
        <v>12312.21</v>
      </c>
      <c r="W94" s="68">
        <f>'[7]Flujo vencimientos'!U$13</f>
        <v>2070.47</v>
      </c>
      <c r="X94" s="67">
        <f>'[7]Flujo vencimientos'!V$13</f>
        <v>12366.26</v>
      </c>
      <c r="Y94" s="68">
        <f>'[7]Flujo vencimientos'!W$13</f>
        <v>1992.17</v>
      </c>
      <c r="Z94" s="67">
        <f>'[7]Flujo vencimientos'!X$13</f>
        <v>12420.5</v>
      </c>
      <c r="AA94" s="68">
        <f>'[7]Flujo vencimientos'!Y$13</f>
        <v>2046.5200000000002</v>
      </c>
      <c r="AB94" s="73">
        <f t="shared" si="4"/>
        <v>145303.32</v>
      </c>
      <c r="AC94" s="74">
        <f t="shared" si="5"/>
        <v>24805.010000000006</v>
      </c>
    </row>
    <row r="95" spans="1:29" ht="13.5" thickBot="1">
      <c r="A95" s="34" t="s">
        <v>11</v>
      </c>
      <c r="B95" s="67">
        <f>'[3]Flujo Vencimientos'!B$13</f>
        <v>142548.4</v>
      </c>
      <c r="C95" s="68">
        <f>'[3]Flujo Vencimientos'!C$13</f>
        <v>26150.77</v>
      </c>
      <c r="D95" s="67">
        <f>'[3]Flujo Vencimientos'!D$13</f>
        <v>144388.43</v>
      </c>
      <c r="E95" s="68">
        <f>'[3]Flujo Vencimientos'!E$13</f>
        <v>23703.440000000002</v>
      </c>
      <c r="F95" s="67">
        <f>'[3]Flujo Vencimientos'!F$13</f>
        <v>145715.4</v>
      </c>
      <c r="G95" s="68">
        <f>'[3]Flujo Vencimientos'!G$13</f>
        <v>26236.760000000002</v>
      </c>
      <c r="H95" s="67">
        <f>'[3]Flujo Vencimientos'!H$13</f>
        <v>146355.04</v>
      </c>
      <c r="I95" s="68">
        <f>'[3]Flujo Vencimientos'!I$13</f>
        <v>25261.27</v>
      </c>
      <c r="J95" s="67">
        <f>'[3]Flujo Vencimientos'!J$13</f>
        <v>146997.59</v>
      </c>
      <c r="K95" s="68">
        <f>'[3]Flujo Vencimientos'!K$13</f>
        <v>25968.21</v>
      </c>
      <c r="L95" s="67">
        <f>'[3]Flujo Vencimientos'!L$13</f>
        <v>147642.86</v>
      </c>
      <c r="M95" s="68">
        <f>'[3]Flujo Vencimientos'!M$13</f>
        <v>24998.17</v>
      </c>
      <c r="N95" s="73">
        <f t="shared" si="1"/>
        <v>873647.72</v>
      </c>
      <c r="O95" s="84">
        <f t="shared" si="2"/>
        <v>152318.62</v>
      </c>
      <c r="P95" s="67">
        <f>'[3]Flujo Vencimientos'!N$13</f>
        <v>148291.06</v>
      </c>
      <c r="Q95" s="68">
        <f>'[3]Flujo Vencimientos'!O$13</f>
        <v>25692.949999999997</v>
      </c>
      <c r="R95" s="67">
        <f>'[3]Flujo Vencimientos'!P$13</f>
        <v>148942.01</v>
      </c>
      <c r="S95" s="68">
        <f>'[3]Flujo Vencimientos'!Q$13</f>
        <v>25552.739999999998</v>
      </c>
      <c r="T95" s="67">
        <f>'[3]Flujo Vencimientos'!R$13</f>
        <v>149595.91</v>
      </c>
      <c r="U95" s="68">
        <f>'[3]Flujo Vencimientos'!S$13</f>
        <v>24591.09</v>
      </c>
      <c r="V95" s="67">
        <f>'[3]Flujo Vencimientos'!T$13</f>
        <v>150252.59</v>
      </c>
      <c r="W95" s="68">
        <f>'[3]Flujo Vencimientos'!U$13</f>
        <v>25267.16</v>
      </c>
      <c r="X95" s="67">
        <f>'[3]Flujo Vencimientos'!V$13</f>
        <v>150912.25</v>
      </c>
      <c r="Y95" s="68">
        <f>'[3]Flujo Vencimientos'!W$13</f>
        <v>24311.350000000002</v>
      </c>
      <c r="Z95" s="67">
        <f>'[3]Flujo Vencimientos'!X$13</f>
        <v>151574.7</v>
      </c>
      <c r="AA95" s="68">
        <f>'[3]Flujo Vencimientos'!Y$13</f>
        <v>24974.53</v>
      </c>
      <c r="AB95" s="73">
        <f t="shared" si="4"/>
        <v>1773216.24</v>
      </c>
      <c r="AC95" s="74">
        <f t="shared" si="5"/>
        <v>302708.43999999994</v>
      </c>
    </row>
    <row r="96" spans="1:29" s="42" customFormat="1" ht="12.75" thickBot="1">
      <c r="A96" s="43" t="s">
        <v>120</v>
      </c>
      <c r="B96" s="71">
        <f aca="true" t="shared" si="6" ref="B96:M96">B83</f>
        <v>661712.52</v>
      </c>
      <c r="C96" s="72">
        <f t="shared" si="6"/>
        <v>121392.48</v>
      </c>
      <c r="D96" s="71">
        <f t="shared" si="6"/>
        <v>670254.05</v>
      </c>
      <c r="E96" s="72">
        <f t="shared" si="6"/>
        <v>110031.87000000001</v>
      </c>
      <c r="F96" s="71">
        <f t="shared" si="6"/>
        <v>676413.8</v>
      </c>
      <c r="G96" s="72">
        <f t="shared" si="6"/>
        <v>121791.53</v>
      </c>
      <c r="H96" s="71">
        <f t="shared" si="6"/>
        <v>679383.11</v>
      </c>
      <c r="I96" s="72">
        <f t="shared" si="6"/>
        <v>117263.41</v>
      </c>
      <c r="J96" s="71">
        <f t="shared" si="6"/>
        <v>682365.75</v>
      </c>
      <c r="K96" s="72">
        <f t="shared" si="6"/>
        <v>120544.97999999998</v>
      </c>
      <c r="L96" s="71">
        <f t="shared" si="6"/>
        <v>685361.1900000001</v>
      </c>
      <c r="M96" s="72">
        <f t="shared" si="6"/>
        <v>116041.95999999999</v>
      </c>
      <c r="N96" s="597">
        <f t="shared" si="1"/>
        <v>4055490.42</v>
      </c>
      <c r="O96" s="598">
        <f t="shared" si="2"/>
        <v>707066.23</v>
      </c>
      <c r="P96" s="71">
        <f>P83</f>
        <v>688370.0700000001</v>
      </c>
      <c r="Q96" s="72">
        <f>Q83</f>
        <v>119267.22</v>
      </c>
      <c r="R96" s="71">
        <f>R83</f>
        <v>691391.87</v>
      </c>
      <c r="S96" s="72">
        <f aca="true" t="shared" si="7" ref="S96:AA96">S83</f>
        <v>118616.23999999999</v>
      </c>
      <c r="T96" s="71">
        <f t="shared" si="7"/>
        <v>694427.2200000001</v>
      </c>
      <c r="U96" s="72">
        <f t="shared" si="7"/>
        <v>114152.29</v>
      </c>
      <c r="V96" s="71">
        <f t="shared" si="7"/>
        <v>697475.6099999999</v>
      </c>
      <c r="W96" s="72">
        <f t="shared" si="7"/>
        <v>117290.52</v>
      </c>
      <c r="X96" s="71">
        <f t="shared" si="7"/>
        <v>700537.6799999999</v>
      </c>
      <c r="Y96" s="72">
        <f t="shared" si="7"/>
        <v>112853.71</v>
      </c>
      <c r="Z96" s="71">
        <f t="shared" si="7"/>
        <v>703612.8400000001</v>
      </c>
      <c r="AA96" s="72">
        <f t="shared" si="7"/>
        <v>115932.37000000001</v>
      </c>
      <c r="AB96" s="597">
        <f t="shared" si="4"/>
        <v>8231305.709999999</v>
      </c>
      <c r="AC96" s="598">
        <f t="shared" si="5"/>
        <v>1405178.58</v>
      </c>
    </row>
    <row r="97" spans="1:29" ht="13.5" thickBot="1">
      <c r="A97" s="42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1"/>
      <c r="AC97" s="42"/>
    </row>
    <row r="98" spans="1:29" s="42" customFormat="1" ht="12.75" thickBot="1">
      <c r="A98" s="40" t="s">
        <v>94</v>
      </c>
      <c r="B98" s="39"/>
      <c r="C98" s="39"/>
      <c r="D98" s="39"/>
      <c r="E98" s="39"/>
      <c r="F98" s="39"/>
      <c r="G98" s="39"/>
      <c r="H98" s="78" t="s">
        <v>132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78" t="str">
        <f>H98</f>
        <v>EN PESOS</v>
      </c>
      <c r="W98" s="39"/>
      <c r="X98" s="39"/>
      <c r="Y98" s="39"/>
      <c r="Z98" s="39"/>
      <c r="AA98" s="39"/>
      <c r="AB98" s="39"/>
      <c r="AC98" s="38"/>
    </row>
    <row r="99" spans="1:29" ht="12.75">
      <c r="A99" s="37" t="s">
        <v>28</v>
      </c>
      <c r="B99" s="36">
        <f>B100</f>
        <v>0</v>
      </c>
      <c r="C99" s="35">
        <f>C100</f>
        <v>0</v>
      </c>
      <c r="D99" s="36">
        <f aca="true" t="shared" si="8" ref="D99:M99">D100</f>
        <v>0</v>
      </c>
      <c r="E99" s="35">
        <f t="shared" si="8"/>
        <v>0</v>
      </c>
      <c r="F99" s="36">
        <f t="shared" si="8"/>
        <v>0</v>
      </c>
      <c r="G99" s="35">
        <f t="shared" si="8"/>
        <v>0</v>
      </c>
      <c r="H99" s="36">
        <f t="shared" si="8"/>
        <v>394295.1</v>
      </c>
      <c r="I99" s="35">
        <f t="shared" si="8"/>
        <v>15709.18</v>
      </c>
      <c r="J99" s="36">
        <f t="shared" si="8"/>
        <v>0</v>
      </c>
      <c r="K99" s="35">
        <f t="shared" si="8"/>
        <v>0</v>
      </c>
      <c r="L99" s="36">
        <f t="shared" si="8"/>
        <v>0</v>
      </c>
      <c r="M99" s="35">
        <f t="shared" si="8"/>
        <v>0</v>
      </c>
      <c r="N99" s="85">
        <f aca="true" t="shared" si="9" ref="N99:N144">B99+D99+F99+H99+J99+L99</f>
        <v>394295.1</v>
      </c>
      <c r="O99" s="86">
        <f aca="true" t="shared" si="10" ref="O99:O144">C99+E99+G99+I99+K99+M99</f>
        <v>15709.18</v>
      </c>
      <c r="P99" s="36">
        <f aca="true" t="shared" si="11" ref="P99:AA99">P100</f>
        <v>0</v>
      </c>
      <c r="Q99" s="35">
        <f t="shared" si="11"/>
        <v>0</v>
      </c>
      <c r="R99" s="36">
        <f t="shared" si="11"/>
        <v>402072.98</v>
      </c>
      <c r="S99" s="35">
        <f t="shared" si="11"/>
        <v>8129.59</v>
      </c>
      <c r="T99" s="36">
        <f t="shared" si="11"/>
        <v>0</v>
      </c>
      <c r="U99" s="35">
        <f t="shared" si="11"/>
        <v>0</v>
      </c>
      <c r="V99" s="36">
        <f t="shared" si="11"/>
        <v>0</v>
      </c>
      <c r="W99" s="35">
        <f t="shared" si="11"/>
        <v>0</v>
      </c>
      <c r="X99" s="36">
        <f t="shared" si="11"/>
        <v>0</v>
      </c>
      <c r="Y99" s="35">
        <f t="shared" si="11"/>
        <v>0</v>
      </c>
      <c r="Z99" s="36">
        <f t="shared" si="11"/>
        <v>0</v>
      </c>
      <c r="AA99" s="35">
        <f t="shared" si="11"/>
        <v>0</v>
      </c>
      <c r="AB99" s="85">
        <f>+N99+P99+R99+T99+V99+X99+Z99</f>
        <v>796368.08</v>
      </c>
      <c r="AC99" s="86">
        <f>O99+Q99+S99+U99+W99+Y99+AA99</f>
        <v>23838.77</v>
      </c>
    </row>
    <row r="100" spans="1:29" ht="12.75">
      <c r="A100" s="34" t="s">
        <v>1</v>
      </c>
      <c r="B100" s="79"/>
      <c r="C100" s="80"/>
      <c r="D100" s="79"/>
      <c r="E100" s="80"/>
      <c r="F100" s="79"/>
      <c r="G100" s="80"/>
      <c r="H100" s="81">
        <f>'[25]Flujo vencimientos'!B$13</f>
        <v>394295.1</v>
      </c>
      <c r="I100" s="82">
        <f>'[25]Flujo vencimientos'!C$13</f>
        <v>15709.18</v>
      </c>
      <c r="J100" s="79"/>
      <c r="K100" s="80"/>
      <c r="L100" s="79"/>
      <c r="M100" s="80"/>
      <c r="N100" s="51">
        <f t="shared" si="9"/>
        <v>394295.1</v>
      </c>
      <c r="O100" s="50">
        <f t="shared" si="10"/>
        <v>15709.18</v>
      </c>
      <c r="P100" s="79"/>
      <c r="Q100" s="80"/>
      <c r="R100" s="81">
        <f>'[25]Flujo vencimientos'!D$13</f>
        <v>402072.98</v>
      </c>
      <c r="S100" s="82">
        <f>'[25]Flujo vencimientos'!E$13</f>
        <v>8129.59</v>
      </c>
      <c r="T100" s="79"/>
      <c r="U100" s="80"/>
      <c r="V100" s="79"/>
      <c r="W100" s="80"/>
      <c r="X100" s="79"/>
      <c r="Y100" s="80"/>
      <c r="Z100" s="79"/>
      <c r="AA100" s="80"/>
      <c r="AB100" s="51">
        <f>+N100+P100+R100+T100+V100+X100+Z100</f>
        <v>796368.08</v>
      </c>
      <c r="AC100" s="50">
        <f>O100+Q100+S100+U100+W100+Y100+AA100</f>
        <v>23838.77</v>
      </c>
    </row>
    <row r="101" spans="1:29" ht="12.75">
      <c r="A101" s="33" t="s">
        <v>125</v>
      </c>
      <c r="B101" s="32">
        <f>SUM(B102:B118)</f>
        <v>1323948.0799999998</v>
      </c>
      <c r="C101" s="31">
        <f>SUM(C102:C118)</f>
        <v>260304.63</v>
      </c>
      <c r="D101" s="32">
        <f aca="true" t="shared" si="12" ref="D101:M101">SUM(D102:D118)</f>
        <v>1337187.57</v>
      </c>
      <c r="E101" s="31">
        <f t="shared" si="12"/>
        <v>247065.15</v>
      </c>
      <c r="F101" s="32">
        <f t="shared" si="12"/>
        <v>1350559.4500000002</v>
      </c>
      <c r="G101" s="31">
        <f t="shared" si="12"/>
        <v>233693.28000000003</v>
      </c>
      <c r="H101" s="32">
        <f t="shared" si="12"/>
        <v>1364065.0399999998</v>
      </c>
      <c r="I101" s="31">
        <f t="shared" si="12"/>
        <v>220187.67999999996</v>
      </c>
      <c r="J101" s="32">
        <f t="shared" si="12"/>
        <v>1377705.7099999997</v>
      </c>
      <c r="K101" s="31">
        <f t="shared" si="12"/>
        <v>206547.03999999998</v>
      </c>
      <c r="L101" s="32">
        <f t="shared" si="12"/>
        <v>1391482.7500000002</v>
      </c>
      <c r="M101" s="31">
        <f t="shared" si="12"/>
        <v>192769.99</v>
      </c>
      <c r="N101" s="32">
        <f t="shared" si="9"/>
        <v>8144948.6</v>
      </c>
      <c r="O101" s="31">
        <f t="shared" si="10"/>
        <v>1360567.77</v>
      </c>
      <c r="P101" s="32">
        <f aca="true" t="shared" si="13" ref="P101:AA101">SUM(P102:P118)</f>
        <v>1405397.56</v>
      </c>
      <c r="Q101" s="31">
        <f t="shared" si="13"/>
        <v>178855.13999999998</v>
      </c>
      <c r="R101" s="32">
        <f t="shared" si="13"/>
        <v>1419451.54</v>
      </c>
      <c r="S101" s="31">
        <f t="shared" si="13"/>
        <v>164801.15000000002</v>
      </c>
      <c r="T101" s="32">
        <f t="shared" si="13"/>
        <v>1433646.0800000003</v>
      </c>
      <c r="U101" s="31">
        <f t="shared" si="13"/>
        <v>150606.63999999998</v>
      </c>
      <c r="V101" s="32">
        <f t="shared" si="13"/>
        <v>1447982.56</v>
      </c>
      <c r="W101" s="31">
        <f t="shared" si="13"/>
        <v>136270.19999999998</v>
      </c>
      <c r="X101" s="32">
        <f t="shared" si="13"/>
        <v>1462462.38</v>
      </c>
      <c r="Y101" s="31">
        <f t="shared" si="13"/>
        <v>121790.36000000002</v>
      </c>
      <c r="Z101" s="32">
        <f t="shared" si="13"/>
        <v>1477086.98</v>
      </c>
      <c r="AA101" s="31">
        <f t="shared" si="13"/>
        <v>107165.75</v>
      </c>
      <c r="AB101" s="32">
        <f>+N101+P101+R101+T101+V101+X101+Z101</f>
        <v>16790975.7</v>
      </c>
      <c r="AC101" s="31">
        <f>O101+Q101+S101+U101+W101+Y101+AA101</f>
        <v>2220057.01</v>
      </c>
    </row>
    <row r="102" spans="1:29" ht="12.75">
      <c r="A102" s="34" t="s">
        <v>1</v>
      </c>
      <c r="B102" s="81">
        <f>'[23]Flujos Vencimientos'!B$13</f>
        <v>135144.85</v>
      </c>
      <c r="C102" s="82">
        <f>'[23]Flujos Vencimientos'!C$13</f>
        <v>26508.32</v>
      </c>
      <c r="D102" s="81">
        <f>'[23]Flujos Vencimientos'!D$13</f>
        <v>136496.3</v>
      </c>
      <c r="E102" s="82">
        <f>'[23]Flujos Vencimientos'!E$13</f>
        <v>25156.87</v>
      </c>
      <c r="F102" s="81">
        <f>'[23]Flujos Vencimientos'!F$13</f>
        <v>137861.27</v>
      </c>
      <c r="G102" s="82">
        <f>'[23]Flujos Vencimientos'!G$13</f>
        <v>23791.91</v>
      </c>
      <c r="H102" s="81">
        <f>'[23]Flujos Vencimientos'!H$13</f>
        <v>139239.88</v>
      </c>
      <c r="I102" s="82">
        <f>'[23]Flujos Vencimientos'!I$13</f>
        <v>22413.3</v>
      </c>
      <c r="J102" s="81">
        <f>'[23]Flujos Vencimientos'!J$13</f>
        <v>140632.28</v>
      </c>
      <c r="K102" s="82">
        <f>'[23]Flujos Vencimientos'!K$13</f>
        <v>21020.9</v>
      </c>
      <c r="L102" s="81">
        <f>'[23]Flujos Vencimientos'!L$13</f>
        <v>142038.6</v>
      </c>
      <c r="M102" s="82">
        <f>'[23]Flujos Vencimientos'!M$13</f>
        <v>19614.58</v>
      </c>
      <c r="N102" s="51">
        <f t="shared" si="9"/>
        <v>831413.18</v>
      </c>
      <c r="O102" s="50">
        <f t="shared" si="10"/>
        <v>138505.88</v>
      </c>
      <c r="P102" s="81">
        <f>'[23]Flujos Vencimientos'!N$13</f>
        <v>143458.99</v>
      </c>
      <c r="Q102" s="82">
        <f>'[23]Flujos Vencimientos'!O$13</f>
        <v>18194.19</v>
      </c>
      <c r="R102" s="81">
        <f>'[23]Flujos Vencimientos'!P$13</f>
        <v>144893.58</v>
      </c>
      <c r="S102" s="82">
        <f>'[23]Flujos Vencimientos'!Q$13</f>
        <v>16759.6</v>
      </c>
      <c r="T102" s="81">
        <f>'[23]Flujos Vencimientos'!R$13</f>
        <v>146342.51</v>
      </c>
      <c r="U102" s="82">
        <f>'[23]Flujos Vencimientos'!S$13</f>
        <v>15310.66</v>
      </c>
      <c r="V102" s="81">
        <f>'[23]Flujos Vencimientos'!T$13</f>
        <v>147805.94</v>
      </c>
      <c r="W102" s="82">
        <f>'[23]Flujos Vencimientos'!U$13</f>
        <v>13847.24</v>
      </c>
      <c r="X102" s="81">
        <f>'[23]Flujos Vencimientos'!V$13</f>
        <v>149284</v>
      </c>
      <c r="Y102" s="82">
        <f>'[23]Flujos Vencimientos'!W$13</f>
        <v>12369.18</v>
      </c>
      <c r="Z102" s="81">
        <f>'[23]Flujos Vencimientos'!X$13</f>
        <v>150776.84</v>
      </c>
      <c r="AA102" s="82">
        <f>'[23]Flujos Vencimientos'!Y$13</f>
        <v>10876.34</v>
      </c>
      <c r="AB102" s="51">
        <f aca="true" t="shared" si="14" ref="AB102:AB144">+N102+P102+R102+T102+V102+X102+Z102</f>
        <v>1713975.04</v>
      </c>
      <c r="AC102" s="50">
        <f aca="true" t="shared" si="15" ref="AC102:AC144">O102+Q102+S102+U102+W102+Y102+AA102</f>
        <v>225863.09</v>
      </c>
    </row>
    <row r="103" spans="1:29" ht="12.75">
      <c r="A103" s="34" t="s">
        <v>21</v>
      </c>
      <c r="B103" s="81">
        <f>'[27]Flujos Vencimientos'!B13</f>
        <v>83487.16</v>
      </c>
      <c r="C103" s="82">
        <f>'[27]Flujos Vencimientos'!C13</f>
        <v>16375.8</v>
      </c>
      <c r="D103" s="81">
        <f>'[27]Flujos Vencimientos'!D13</f>
        <v>84322.03</v>
      </c>
      <c r="E103" s="82">
        <f>'[27]Flujos Vencimientos'!E13</f>
        <v>15540.92</v>
      </c>
      <c r="F103" s="81">
        <f>'[27]Flujos Vencimientos'!F13</f>
        <v>85165.25</v>
      </c>
      <c r="G103" s="82">
        <f>'[27]Flujos Vencimientos'!G13</f>
        <v>14697.7</v>
      </c>
      <c r="H103" s="81">
        <f>'[27]Flujos Vencimientos'!H13</f>
        <v>86016.9</v>
      </c>
      <c r="I103" s="82">
        <f>'[27]Flujos Vencimientos'!I13</f>
        <v>13846.05</v>
      </c>
      <c r="J103" s="81">
        <f>'[27]Flujos Vencimientos'!J13</f>
        <v>86877.07</v>
      </c>
      <c r="K103" s="82">
        <f>'[27]Flujos Vencimientos'!K13</f>
        <v>12985.88</v>
      </c>
      <c r="L103" s="81">
        <f>'[27]Flujos Vencimientos'!L13</f>
        <v>87745.84</v>
      </c>
      <c r="M103" s="82">
        <f>'[27]Flujos Vencimientos'!M13</f>
        <v>12117.11</v>
      </c>
      <c r="N103" s="51">
        <f t="shared" si="9"/>
        <v>513614.25</v>
      </c>
      <c r="O103" s="50">
        <f t="shared" si="10"/>
        <v>85563.46</v>
      </c>
      <c r="P103" s="81">
        <f>'[27]Flujos Vencimientos'!N13</f>
        <v>88623.3</v>
      </c>
      <c r="Q103" s="82">
        <f>'[27]Flujos Vencimientos'!O13</f>
        <v>11239.65</v>
      </c>
      <c r="R103" s="81">
        <f>'[27]Flujos Vencimientos'!P13</f>
        <v>89509.53</v>
      </c>
      <c r="S103" s="82">
        <f>'[27]Flujos Vencimientos'!Q13</f>
        <v>10353.42</v>
      </c>
      <c r="T103" s="81">
        <f>'[27]Flujos Vencimientos'!R13</f>
        <v>90404.63</v>
      </c>
      <c r="U103" s="82">
        <f>'[27]Flujos Vencimientos'!S13</f>
        <v>9458.32</v>
      </c>
      <c r="V103" s="81">
        <f>'[27]Flujos Vencimientos'!T13</f>
        <v>91308.67</v>
      </c>
      <c r="W103" s="82">
        <f>'[27]Flujos Vencimientos'!U13</f>
        <v>8554.28</v>
      </c>
      <c r="X103" s="81">
        <f>'[27]Flujos Vencimientos'!V13</f>
        <v>92221.76</v>
      </c>
      <c r="Y103" s="82">
        <f>'[27]Flujos Vencimientos'!W13</f>
        <v>7641.19</v>
      </c>
      <c r="Z103" s="81">
        <f>'[27]Flujos Vencimientos'!X13</f>
        <v>93143.98</v>
      </c>
      <c r="AA103" s="82">
        <f>'[27]Flujos Vencimientos'!Y13</f>
        <v>6718.97</v>
      </c>
      <c r="AB103" s="51">
        <f t="shared" si="14"/>
        <v>1058826.12</v>
      </c>
      <c r="AC103" s="50">
        <f t="shared" si="15"/>
        <v>139529.29</v>
      </c>
    </row>
    <row r="104" spans="1:29" ht="12.75">
      <c r="A104" s="34" t="s">
        <v>22</v>
      </c>
      <c r="B104" s="81">
        <f>'[42]Flujos Vencimientos'!B$13</f>
        <v>32055.96</v>
      </c>
      <c r="C104" s="82">
        <f>'[42]Flujos Vencimientos'!C$13</f>
        <v>6287.7</v>
      </c>
      <c r="D104" s="81">
        <f>'[42]Flujos Vencimientos'!D$13</f>
        <v>32376.52</v>
      </c>
      <c r="E104" s="82">
        <f>'[42]Flujos Vencimientos'!E$13</f>
        <v>5967.14</v>
      </c>
      <c r="F104" s="81">
        <f>'[42]Flujos Vencimientos'!F$13</f>
        <v>32700.29</v>
      </c>
      <c r="G104" s="82">
        <f>'[42]Flujos Vencimientos'!G$13</f>
        <v>5643.37</v>
      </c>
      <c r="H104" s="81">
        <f>'[42]Flujos Vencimientos'!H$13</f>
        <v>33027.29</v>
      </c>
      <c r="I104" s="82">
        <f>'[42]Flujos Vencimientos'!I$13</f>
        <v>5316.37</v>
      </c>
      <c r="J104" s="81">
        <f>'[42]Flujos Vencimientos'!J$13</f>
        <v>33357.57</v>
      </c>
      <c r="K104" s="82">
        <f>'[42]Flujos Vencimientos'!K$13</f>
        <v>4986.1</v>
      </c>
      <c r="L104" s="81">
        <f>'[42]Flujos Vencimientos'!L$13</f>
        <v>33691.14</v>
      </c>
      <c r="M104" s="82">
        <f>'[42]Flujos Vencimientos'!M$13</f>
        <v>4652.52</v>
      </c>
      <c r="N104" s="51">
        <f t="shared" si="9"/>
        <v>197208.77000000002</v>
      </c>
      <c r="O104" s="50">
        <f t="shared" si="10"/>
        <v>32853.2</v>
      </c>
      <c r="P104" s="81">
        <f>'[42]Flujos Vencimientos'!N$13</f>
        <v>34028.05</v>
      </c>
      <c r="Q104" s="82">
        <f>'[42]Flujos Vencimientos'!O$13</f>
        <v>4315.61</v>
      </c>
      <c r="R104" s="81">
        <f>'[42]Flujos Vencimientos'!P$13</f>
        <v>34368.33</v>
      </c>
      <c r="S104" s="82">
        <f>'[42]Flujos Vencimientos'!Q$13</f>
        <v>3975.33</v>
      </c>
      <c r="T104" s="81">
        <f>'[42]Flujos Vencimientos'!R$13</f>
        <v>34712.02</v>
      </c>
      <c r="U104" s="82">
        <f>'[42]Flujos Vencimientos'!S$13</f>
        <v>3631.64</v>
      </c>
      <c r="V104" s="81">
        <f>'[42]Flujos Vencimientos'!T$13</f>
        <v>35059.14</v>
      </c>
      <c r="W104" s="82">
        <f>'[42]Flujos Vencimientos'!U$13</f>
        <v>3284.52</v>
      </c>
      <c r="X104" s="81">
        <f>'[42]Flujos Vencimientos'!V$13</f>
        <v>35409.73</v>
      </c>
      <c r="Y104" s="82">
        <f>'[42]Flujos Vencimientos'!W$13</f>
        <v>2933.93</v>
      </c>
      <c r="Z104" s="81">
        <f>'[42]Flujos Vencimientos'!X$13</f>
        <v>35763.82</v>
      </c>
      <c r="AA104" s="82">
        <f>'[42]Flujos Vencimientos'!Y$13</f>
        <v>2579.84</v>
      </c>
      <c r="AB104" s="51">
        <f t="shared" si="14"/>
        <v>406549.86000000004</v>
      </c>
      <c r="AC104" s="50">
        <f t="shared" si="15"/>
        <v>53574.06999999999</v>
      </c>
    </row>
    <row r="105" spans="1:29" ht="12.75">
      <c r="A105" s="34" t="s">
        <v>126</v>
      </c>
      <c r="B105" s="81">
        <f>'[40]Flujos Vencimientos'!B$13</f>
        <v>159811.82</v>
      </c>
      <c r="C105" s="82">
        <f>'[40]Flujos Vencimientos'!C$13</f>
        <v>31346.68</v>
      </c>
      <c r="D105" s="81">
        <f>'[40]Flujos Vencimientos'!D$13</f>
        <v>161409.93</v>
      </c>
      <c r="E105" s="82">
        <f>'[40]Flujos Vencimientos'!E$13</f>
        <v>29748.57</v>
      </c>
      <c r="F105" s="81">
        <f>'[40]Flujos Vencimientos'!F$13</f>
        <v>163024.03</v>
      </c>
      <c r="G105" s="82">
        <f>'[40]Flujos Vencimientos'!G$13</f>
        <v>28134.47</v>
      </c>
      <c r="H105" s="81">
        <f>'[40]Flujos Vencimientos'!H$13</f>
        <v>164654.27</v>
      </c>
      <c r="I105" s="82">
        <f>'[40]Flujos Vencimientos'!I$13</f>
        <v>26504.23</v>
      </c>
      <c r="J105" s="81">
        <f>'[40]Flujos Vencimientos'!J$13</f>
        <v>166300.82</v>
      </c>
      <c r="K105" s="82">
        <f>'[40]Flujos Vencimientos'!K$13</f>
        <v>24857.68</v>
      </c>
      <c r="L105" s="81">
        <f>'[40]Flujos Vencimientos'!L$13</f>
        <v>167963.82</v>
      </c>
      <c r="M105" s="82">
        <f>'[40]Flujos Vencimientos'!M$13</f>
        <v>23194.68</v>
      </c>
      <c r="N105" s="51">
        <f t="shared" si="9"/>
        <v>983164.6900000002</v>
      </c>
      <c r="O105" s="50">
        <f t="shared" si="10"/>
        <v>163786.31</v>
      </c>
      <c r="P105" s="81">
        <f>'[40]Flujos Vencimientos'!N$13</f>
        <v>169643.46</v>
      </c>
      <c r="Q105" s="82">
        <f>'[40]Flujos Vencimientos'!O$13</f>
        <v>21515.04</v>
      </c>
      <c r="R105" s="81">
        <f>'[40]Flujos Vencimientos'!P$13</f>
        <v>171339.9</v>
      </c>
      <c r="S105" s="82">
        <f>'[40]Flujos Vencimientos'!Q$13</f>
        <v>19818.6</v>
      </c>
      <c r="T105" s="81">
        <f>'[40]Flujos Vencimientos'!R$13</f>
        <v>173053.3</v>
      </c>
      <c r="U105" s="82">
        <f>'[40]Flujos Vencimientos'!S$13</f>
        <v>18105.2</v>
      </c>
      <c r="V105" s="81">
        <f>'[40]Flujos Vencimientos'!T$13</f>
        <v>174783.83</v>
      </c>
      <c r="W105" s="82">
        <f>'[40]Flujos Vencimientos'!U$13</f>
        <v>16374.67</v>
      </c>
      <c r="X105" s="81">
        <f>'[40]Flujos Vencimientos'!V$13</f>
        <v>176531.67</v>
      </c>
      <c r="Y105" s="82">
        <f>'[40]Flujos Vencimientos'!W$13</f>
        <v>14626.83</v>
      </c>
      <c r="Z105" s="81">
        <f>'[40]Flujos Vencimientos'!X$13</f>
        <v>178296.98</v>
      </c>
      <c r="AA105" s="82">
        <f>'[40]Flujos Vencimientos'!Y$13</f>
        <v>12861.52</v>
      </c>
      <c r="AB105" s="51">
        <f t="shared" si="14"/>
        <v>2026813.83</v>
      </c>
      <c r="AC105" s="50">
        <f t="shared" si="15"/>
        <v>267088.17000000004</v>
      </c>
    </row>
    <row r="106" spans="1:29" ht="12.75">
      <c r="A106" s="34" t="s">
        <v>127</v>
      </c>
      <c r="B106" s="81">
        <f>'[37]Flujos Vencimientos'!B$13</f>
        <v>20534.62</v>
      </c>
      <c r="C106" s="82">
        <f>'[37]Flujos Vencimientos'!C$13</f>
        <v>4027.81</v>
      </c>
      <c r="D106" s="81">
        <f>'[37]Flujos Vencimientos'!D$13</f>
        <v>20739.97</v>
      </c>
      <c r="E106" s="82">
        <f>'[37]Flujos Vencimientos'!E$13</f>
        <v>3822.47</v>
      </c>
      <c r="F106" s="81">
        <f>'[37]Flujos Vencimientos'!F$13</f>
        <v>20947.37</v>
      </c>
      <c r="G106" s="82">
        <f>'[37]Flujos Vencimientos'!G$13</f>
        <v>3615.07</v>
      </c>
      <c r="H106" s="81">
        <f>'[37]Flujos Vencimientos'!H$13</f>
        <v>21156.84</v>
      </c>
      <c r="I106" s="82">
        <f>'[37]Flujos Vencimientos'!I$13</f>
        <v>3405.59</v>
      </c>
      <c r="J106" s="81">
        <f>'[37]Flujos Vencimientos'!J$13</f>
        <v>21368.41</v>
      </c>
      <c r="K106" s="82">
        <f>'[37]Flujos Vencimientos'!K$13</f>
        <v>3194.03</v>
      </c>
      <c r="L106" s="81">
        <f>'[37]Flujos Vencimientos'!L$13</f>
        <v>21582.09</v>
      </c>
      <c r="M106" s="82">
        <f>'[37]Flujos Vencimientos'!M$13</f>
        <v>2980.34</v>
      </c>
      <c r="N106" s="51">
        <f t="shared" si="9"/>
        <v>126329.29999999999</v>
      </c>
      <c r="O106" s="50">
        <f t="shared" si="10"/>
        <v>21045.31</v>
      </c>
      <c r="P106" s="81">
        <f>'[37]Flujos Vencimientos'!N$13</f>
        <v>21797.91</v>
      </c>
      <c r="Q106" s="82">
        <f>'[37]Flujos Vencimientos'!O$13</f>
        <v>2764.52</v>
      </c>
      <c r="R106" s="81">
        <f>'[37]Flujos Vencimientos'!P$13</f>
        <v>22015.89</v>
      </c>
      <c r="S106" s="82">
        <f>'[37]Flujos Vencimientos'!Q$13</f>
        <v>2546.54</v>
      </c>
      <c r="T106" s="81">
        <f>'[37]Flujos Vencimientos'!R$13</f>
        <v>22236.05</v>
      </c>
      <c r="U106" s="82">
        <f>'[37]Flujos Vencimientos'!S$13</f>
        <v>2326.38</v>
      </c>
      <c r="V106" s="81">
        <f>'[37]Flujos Vencimientos'!T$13</f>
        <v>22458.41</v>
      </c>
      <c r="W106" s="82">
        <f>'[37]Flujos Vencimientos'!U$13</f>
        <v>2104.02</v>
      </c>
      <c r="X106" s="81">
        <f>'[37]Flujos Vencimientos'!V$13</f>
        <v>22683</v>
      </c>
      <c r="Y106" s="82">
        <f>'[37]Flujos Vencimientos'!W$13</f>
        <v>1879.44</v>
      </c>
      <c r="Z106" s="81">
        <f>'[37]Flujos Vencimientos'!X$13</f>
        <v>22909.83</v>
      </c>
      <c r="AA106" s="82">
        <f>'[37]Flujos Vencimientos'!Y$13</f>
        <v>1652.61</v>
      </c>
      <c r="AB106" s="51">
        <f t="shared" si="14"/>
        <v>260430.38999999996</v>
      </c>
      <c r="AC106" s="50">
        <f t="shared" si="15"/>
        <v>34318.82</v>
      </c>
    </row>
    <row r="107" spans="1:29" ht="12.75">
      <c r="A107" s="34" t="s">
        <v>14</v>
      </c>
      <c r="B107" s="81">
        <f>'[35]Flujos Vencimientos'!B$13</f>
        <v>23364.58</v>
      </c>
      <c r="C107" s="82">
        <f>'[35]Flujos Vencimientos'!C$13</f>
        <v>4582.9</v>
      </c>
      <c r="D107" s="81">
        <f>'[35]Flujos Vencimientos'!D$13</f>
        <v>23598.23</v>
      </c>
      <c r="E107" s="82">
        <f>'[35]Flujos Vencimientos'!E$13</f>
        <v>4349.26</v>
      </c>
      <c r="F107" s="81">
        <f>'[35]Flujos Vencimientos'!F$13</f>
        <v>23834.21</v>
      </c>
      <c r="G107" s="82">
        <f>'[35]Flujos Vencimientos'!G$13</f>
        <v>4113.28</v>
      </c>
      <c r="H107" s="81">
        <f>'[35]Flujos Vencimientos'!H$13</f>
        <v>24072.56</v>
      </c>
      <c r="I107" s="82">
        <f>'[35]Flujos Vencimientos'!I$13</f>
        <v>3874.93</v>
      </c>
      <c r="J107" s="81">
        <f>'[35]Flujos Vencimientos'!J$13</f>
        <v>24313.28</v>
      </c>
      <c r="K107" s="82">
        <f>'[35]Flujos Vencimientos'!K$13</f>
        <v>3634.21</v>
      </c>
      <c r="L107" s="81">
        <f>'[35]Flujos Vencimientos'!L$13</f>
        <v>24556.41</v>
      </c>
      <c r="M107" s="82">
        <f>'[35]Flujos Vencimientos'!M$13</f>
        <v>3391.08</v>
      </c>
      <c r="N107" s="51">
        <f t="shared" si="9"/>
        <v>143739.27</v>
      </c>
      <c r="O107" s="50">
        <f t="shared" si="10"/>
        <v>23945.659999999996</v>
      </c>
      <c r="P107" s="81">
        <f>'[35]Flujos Vencimientos'!N$13</f>
        <v>24801.98</v>
      </c>
      <c r="Q107" s="82">
        <f>'[35]Flujos Vencimientos'!O$13</f>
        <v>3145.51</v>
      </c>
      <c r="R107" s="81">
        <f>'[35]Flujos Vencimientos'!P$13</f>
        <v>25050</v>
      </c>
      <c r="S107" s="82">
        <f>'[35]Flujos Vencimientos'!Q$13</f>
        <v>2897.49</v>
      </c>
      <c r="T107" s="81">
        <f>'[35]Flujos Vencimientos'!R$13</f>
        <v>25300.5</v>
      </c>
      <c r="U107" s="82">
        <f>'[35]Flujos Vencimientos'!S$13</f>
        <v>2646.99</v>
      </c>
      <c r="V107" s="81">
        <f>'[35]Flujos Vencimientos'!T$13</f>
        <v>25553.5</v>
      </c>
      <c r="W107" s="82">
        <f>'[35]Flujos Vencimientos'!U$13</f>
        <v>2393.99</v>
      </c>
      <c r="X107" s="81">
        <f>'[35]Flujos Vencimientos'!V$13</f>
        <v>25809.04</v>
      </c>
      <c r="Y107" s="82">
        <f>'[35]Flujos Vencimientos'!W$13</f>
        <v>2138.45</v>
      </c>
      <c r="Z107" s="81">
        <f>'[35]Flujos Vencimientos'!X$13</f>
        <v>26067.13</v>
      </c>
      <c r="AA107" s="82">
        <f>'[35]Flujos Vencimientos'!Y$13</f>
        <v>1880.36</v>
      </c>
      <c r="AB107" s="51">
        <f t="shared" si="14"/>
        <v>296321.42</v>
      </c>
      <c r="AC107" s="50">
        <f t="shared" si="15"/>
        <v>39048.44999999999</v>
      </c>
    </row>
    <row r="108" spans="1:29" ht="12.75">
      <c r="A108" s="34" t="s">
        <v>13</v>
      </c>
      <c r="B108" s="81">
        <f>'[33]Flujos Vencimientos'!B$13</f>
        <v>121864.78</v>
      </c>
      <c r="C108" s="82">
        <f>'[33]Flujos Vencimientos'!C$13</f>
        <v>23903.47</v>
      </c>
      <c r="D108" s="81">
        <f>'[33]Flujos Vencimientos'!D$13</f>
        <v>123083.43</v>
      </c>
      <c r="E108" s="82">
        <f>'[33]Flujos Vencimientos'!E$13</f>
        <v>22684.82</v>
      </c>
      <c r="F108" s="81">
        <f>'[33]Flujos Vencimientos'!F$13</f>
        <v>124314.27</v>
      </c>
      <c r="G108" s="82">
        <f>'[33]Flujos Vencimientos'!G$13</f>
        <v>21453.99</v>
      </c>
      <c r="H108" s="81">
        <f>'[33]Flujos Vencimientos'!H$13</f>
        <v>125557.41</v>
      </c>
      <c r="I108" s="82">
        <f>'[33]Flujos Vencimientos'!I$13</f>
        <v>20210.84</v>
      </c>
      <c r="J108" s="81">
        <f>'[33]Flujos Vencimientos'!J$13</f>
        <v>126812.98</v>
      </c>
      <c r="K108" s="82">
        <f>'[33]Flujos Vencimientos'!K$13</f>
        <v>18955.27</v>
      </c>
      <c r="L108" s="81">
        <f>'[33]Flujos Vencimientos'!L$13</f>
        <v>128081.11</v>
      </c>
      <c r="M108" s="82">
        <f>'[33]Flujos Vencimientos'!M$13</f>
        <v>17687.14</v>
      </c>
      <c r="N108" s="51">
        <f t="shared" si="9"/>
        <v>749713.98</v>
      </c>
      <c r="O108" s="50">
        <f t="shared" si="10"/>
        <v>124895.53</v>
      </c>
      <c r="P108" s="81">
        <f>'[33]Flujos Vencimientos'!N$13</f>
        <v>129361.92</v>
      </c>
      <c r="Q108" s="82">
        <f>'[33]Flujos Vencimientos'!O$13</f>
        <v>16406.33</v>
      </c>
      <c r="R108" s="81">
        <f>'[33]Flujos Vencimientos'!P$13</f>
        <v>130655.54</v>
      </c>
      <c r="S108" s="82">
        <f>'[33]Flujos Vencimientos'!Q$13</f>
        <v>15112.71</v>
      </c>
      <c r="T108" s="81">
        <f>'[33]Flujos Vencimientos'!R$13</f>
        <v>131962.1</v>
      </c>
      <c r="U108" s="82">
        <f>'[33]Flujos Vencimientos'!S$13</f>
        <v>13806.16</v>
      </c>
      <c r="V108" s="81">
        <f>'[33]Flujos Vencimientos'!T$13</f>
        <v>133281.72</v>
      </c>
      <c r="W108" s="82">
        <f>'[33]Flujos Vencimientos'!U$13</f>
        <v>12486.53</v>
      </c>
      <c r="X108" s="81">
        <f>'[33]Flujos Vencimientos'!V$13</f>
        <v>134614.54</v>
      </c>
      <c r="Y108" s="82">
        <f>'[33]Flujos Vencimientos'!W$13</f>
        <v>11153.72</v>
      </c>
      <c r="Z108" s="81">
        <f>'[33]Flujos Vencimientos'!X$13</f>
        <v>135960.68</v>
      </c>
      <c r="AA108" s="82">
        <f>'[33]Flujos Vencimientos'!Y$13</f>
        <v>9807.57</v>
      </c>
      <c r="AB108" s="51">
        <f t="shared" si="14"/>
        <v>1545550.48</v>
      </c>
      <c r="AC108" s="50">
        <f t="shared" si="15"/>
        <v>203668.55</v>
      </c>
    </row>
    <row r="109" spans="1:29" ht="12.75">
      <c r="A109" s="34" t="s">
        <v>9</v>
      </c>
      <c r="B109" s="81">
        <f>'[31]Flujos Vencimientos'!B$13</f>
        <v>40223.44</v>
      </c>
      <c r="C109" s="82">
        <f>'[31]Flujos Vencimientos'!C$13</f>
        <v>7889.73</v>
      </c>
      <c r="D109" s="81">
        <f>'[31]Flujos Vencimientos'!D$13</f>
        <v>40625.67</v>
      </c>
      <c r="E109" s="82">
        <f>'[31]Flujos Vencimientos'!E$13</f>
        <v>7487.49</v>
      </c>
      <c r="F109" s="81">
        <f>'[31]Flujos Vencimientos'!F$13</f>
        <v>41031.93</v>
      </c>
      <c r="G109" s="82">
        <f>'[31]Flujos Vencimientos'!G$13</f>
        <v>7081.24</v>
      </c>
      <c r="H109" s="81">
        <f>'[31]Flujos Vencimientos'!H$13</f>
        <v>41442.25</v>
      </c>
      <c r="I109" s="82">
        <f>'[31]Flujos Vencimientos'!I$13</f>
        <v>6670.92</v>
      </c>
      <c r="J109" s="81">
        <f>'[31]Flujos Vencimientos'!J$13</f>
        <v>41856.67</v>
      </c>
      <c r="K109" s="82">
        <f>'[31]Flujos Vencimientos'!K$13</f>
        <v>6256.49</v>
      </c>
      <c r="L109" s="81">
        <f>'[31]Flujos Vencimientos'!L$13</f>
        <v>42275.24</v>
      </c>
      <c r="M109" s="82">
        <f>'[31]Flujos Vencimientos'!M$13</f>
        <v>5837.93</v>
      </c>
      <c r="N109" s="51">
        <f t="shared" si="9"/>
        <v>247455.2</v>
      </c>
      <c r="O109" s="50">
        <f t="shared" si="10"/>
        <v>41223.799999999996</v>
      </c>
      <c r="P109" s="81">
        <f>'[31]Flujos Vencimientos'!N$13</f>
        <v>42697.99</v>
      </c>
      <c r="Q109" s="82">
        <f>'[31]Flujos Vencimientos'!O$13</f>
        <v>5415.17</v>
      </c>
      <c r="R109" s="81">
        <f>'[31]Flujos Vencimientos'!P$13</f>
        <v>43124.97</v>
      </c>
      <c r="S109" s="82">
        <f>'[31]Flujos Vencimientos'!Q$13</f>
        <v>4988.19</v>
      </c>
      <c r="T109" s="81">
        <f>'[31]Flujos Vencimientos'!R$13</f>
        <v>43556.22</v>
      </c>
      <c r="U109" s="82">
        <f>'[31]Flujos Vencimientos'!S$13</f>
        <v>4556.94</v>
      </c>
      <c r="V109" s="81">
        <f>'[31]Flujos Vencimientos'!T$13</f>
        <v>43991.79</v>
      </c>
      <c r="W109" s="82">
        <f>'[31]Flujos Vencimientos'!U$13</f>
        <v>4121.38</v>
      </c>
      <c r="X109" s="81">
        <f>'[31]Flujos Vencimientos'!V$13</f>
        <v>44431.7</v>
      </c>
      <c r="Y109" s="82">
        <f>'[31]Flujos Vencimientos'!W$13</f>
        <v>3681.46</v>
      </c>
      <c r="Z109" s="81">
        <f>'[31]Flujos Vencimientos'!X$13</f>
        <v>44876.02</v>
      </c>
      <c r="AA109" s="82">
        <f>'[31]Flujos Vencimientos'!Y$13</f>
        <v>3237.15</v>
      </c>
      <c r="AB109" s="51">
        <f t="shared" si="14"/>
        <v>510133.89</v>
      </c>
      <c r="AC109" s="50">
        <f t="shared" si="15"/>
        <v>67224.09</v>
      </c>
    </row>
    <row r="110" spans="1:29" ht="12.75">
      <c r="A110" s="34" t="s">
        <v>128</v>
      </c>
      <c r="B110" s="81">
        <f>'[29]Flujos Vencimientos'!B$13</f>
        <v>120670.32</v>
      </c>
      <c r="C110" s="82">
        <f>'[29]Flujos Vencimientos'!C$13</f>
        <v>23669.18</v>
      </c>
      <c r="D110" s="81">
        <f>'[29]Flujos Vencimientos'!D$13</f>
        <v>121877.02</v>
      </c>
      <c r="E110" s="82">
        <f>'[29]Flujos Vencimientos'!E$13</f>
        <v>22462.48</v>
      </c>
      <c r="F110" s="81">
        <f>'[29]Flujos Vencimientos'!F$13</f>
        <v>123095.79</v>
      </c>
      <c r="G110" s="82">
        <f>'[29]Flujos Vencimientos'!G$13</f>
        <v>21243.7</v>
      </c>
      <c r="H110" s="81">
        <f>'[29]Flujos Vencimientos'!H$13</f>
        <v>124326.75</v>
      </c>
      <c r="I110" s="82">
        <f>'[29]Flujos Vencimientos'!I$13</f>
        <v>20012.75</v>
      </c>
      <c r="J110" s="81">
        <f>'[29]Flujos Vencimientos'!J$13</f>
        <v>125570.02</v>
      </c>
      <c r="K110" s="82">
        <f>'[29]Flujos Vencimientos'!K$13</f>
        <v>18769.48</v>
      </c>
      <c r="L110" s="81">
        <f>'[29]Flujos Vencimientos'!L$13</f>
        <v>126825.72</v>
      </c>
      <c r="M110" s="82">
        <f>'[29]Flujos Vencimientos'!M$13</f>
        <v>17513.78</v>
      </c>
      <c r="N110" s="51">
        <f t="shared" si="9"/>
        <v>742365.62</v>
      </c>
      <c r="O110" s="50">
        <f t="shared" si="10"/>
        <v>123671.37</v>
      </c>
      <c r="P110" s="81">
        <f>'[29]Flujos Vencimientos'!N$13</f>
        <v>128093.97</v>
      </c>
      <c r="Q110" s="82">
        <f>'[29]Flujos Vencimientos'!O$13</f>
        <v>16245.52</v>
      </c>
      <c r="R110" s="81">
        <f>'[29]Flujos Vencimientos'!P$13</f>
        <v>129374.91</v>
      </c>
      <c r="S110" s="82">
        <f>'[29]Flujos Vencimientos'!Q$13</f>
        <v>14964.58</v>
      </c>
      <c r="T110" s="81">
        <f>'[29]Flujos Vencimientos'!R$13</f>
        <v>130668.66</v>
      </c>
      <c r="U110" s="82">
        <f>'[29]Flujos Vencimientos'!S$13</f>
        <v>13670.83</v>
      </c>
      <c r="V110" s="81">
        <f>'[29]Flujos Vencimientos'!T$13</f>
        <v>131975.35</v>
      </c>
      <c r="W110" s="82">
        <f>'[29]Flujos Vencimientos'!U$13</f>
        <v>12364.15</v>
      </c>
      <c r="X110" s="81">
        <f>'[29]Flujos Vencimientos'!V$13</f>
        <v>133295.1</v>
      </c>
      <c r="Y110" s="82">
        <f>'[29]Flujos Vencimientos'!W$13</f>
        <v>11044.39</v>
      </c>
      <c r="Z110" s="81">
        <f>'[29]Flujos Vencimientos'!X$13</f>
        <v>134628.05</v>
      </c>
      <c r="AA110" s="82">
        <f>'[29]Flujos Vencimientos'!Y$13</f>
        <v>9711.44</v>
      </c>
      <c r="AB110" s="51">
        <f t="shared" si="14"/>
        <v>1530401.6600000001</v>
      </c>
      <c r="AC110" s="50">
        <f t="shared" si="15"/>
        <v>201672.27999999997</v>
      </c>
    </row>
    <row r="111" spans="1:29" ht="12.75">
      <c r="A111" s="34" t="s">
        <v>84</v>
      </c>
      <c r="B111" s="81">
        <f>'[20]Flujos Vencimientos'!B$13</f>
        <v>133231.64</v>
      </c>
      <c r="C111" s="82">
        <f>'[20]Flujos Vencimientos'!C$13</f>
        <v>26133.05</v>
      </c>
      <c r="D111" s="81">
        <f>'[20]Flujos Vencimientos'!D$13</f>
        <v>134563.96</v>
      </c>
      <c r="E111" s="82">
        <f>'[20]Flujos Vencimientos'!E$13</f>
        <v>24800.73</v>
      </c>
      <c r="F111" s="81">
        <f>'[20]Flujos Vencimientos'!F$13</f>
        <v>135909.6</v>
      </c>
      <c r="G111" s="82">
        <f>'[20]Flujos Vencimientos'!G$13</f>
        <v>23455.09</v>
      </c>
      <c r="H111" s="81">
        <f>'[20]Flujos Vencimientos'!H$13</f>
        <v>137268.69</v>
      </c>
      <c r="I111" s="82">
        <f>'[20]Flujos Vencimientos'!I$13</f>
        <v>22096</v>
      </c>
      <c r="J111" s="81">
        <f>'[20]Flujos Vencimientos'!J$13</f>
        <v>138641.38</v>
      </c>
      <c r="K111" s="82">
        <f>'[20]Flujos Vencimientos'!K$13</f>
        <v>20723.31</v>
      </c>
      <c r="L111" s="81">
        <f>'[20]Flujos Vencimientos'!L$13</f>
        <v>140027.8</v>
      </c>
      <c r="M111" s="82">
        <f>'[20]Flujos Vencimientos'!M$13</f>
        <v>19336.9</v>
      </c>
      <c r="N111" s="51">
        <f t="shared" si="9"/>
        <v>819643.0699999998</v>
      </c>
      <c r="O111" s="50">
        <f t="shared" si="10"/>
        <v>136545.08</v>
      </c>
      <c r="P111" s="81">
        <f>'[20]Flujos Vencimientos'!N$13</f>
        <v>141428.07</v>
      </c>
      <c r="Q111" s="82">
        <f>'[20]Flujos Vencimientos'!O$13</f>
        <v>17936.62</v>
      </c>
      <c r="R111" s="81">
        <f>'[20]Flujos Vencimientos'!P$13</f>
        <v>142842.35</v>
      </c>
      <c r="S111" s="82">
        <f>'[20]Flujos Vencimientos'!Q$13</f>
        <v>16522.34</v>
      </c>
      <c r="T111" s="81">
        <f>'[20]Flujos Vencimientos'!R$13</f>
        <v>144270.78</v>
      </c>
      <c r="U111" s="82">
        <f>'[20]Flujos Vencimientos'!S$13</f>
        <v>15093.92</v>
      </c>
      <c r="V111" s="81">
        <f>'[20]Flujos Vencimientos'!T$13</f>
        <v>145713.49</v>
      </c>
      <c r="W111" s="82">
        <f>'[20]Flujos Vencimientos'!U$13</f>
        <v>13651.21</v>
      </c>
      <c r="X111" s="81">
        <f>'[20]Flujos Vencimientos'!V$13</f>
        <v>147170.62</v>
      </c>
      <c r="Y111" s="82">
        <f>'[20]Flujos Vencimientos'!W$13</f>
        <v>12194.07</v>
      </c>
      <c r="Z111" s="81">
        <f>'[20]Flujos Vencimientos'!X$13</f>
        <v>148642.33</v>
      </c>
      <c r="AA111" s="82">
        <f>'[20]Flujos Vencimientos'!Y$13</f>
        <v>10722.37</v>
      </c>
      <c r="AB111" s="51">
        <f t="shared" si="14"/>
        <v>1689710.71</v>
      </c>
      <c r="AC111" s="50">
        <f t="shared" si="15"/>
        <v>222665.61</v>
      </c>
    </row>
    <row r="112" spans="1:29" ht="12.75">
      <c r="A112" s="34" t="s">
        <v>5</v>
      </c>
      <c r="B112" s="81">
        <f>'[17]Flujos Vencimientos'!B$13</f>
        <v>97876.35</v>
      </c>
      <c r="C112" s="82">
        <f>'[17]Flujos Vencimientos'!C$13</f>
        <v>19198.2</v>
      </c>
      <c r="D112" s="81">
        <f>'[17]Flujos Vencimientos'!D$13</f>
        <v>98855.11</v>
      </c>
      <c r="E112" s="82">
        <f>'[17]Flujos Vencimientos'!E$13</f>
        <v>18219.43</v>
      </c>
      <c r="F112" s="81">
        <f>'[17]Flujos Vencimientos'!F$13</f>
        <v>99843.66</v>
      </c>
      <c r="G112" s="82">
        <f>'[17]Flujos Vencimientos'!G$13</f>
        <v>17230.88</v>
      </c>
      <c r="H112" s="81">
        <f>'[17]Flujos Vencimientos'!H$13</f>
        <v>100842.1</v>
      </c>
      <c r="I112" s="82">
        <f>'[17]Flujos Vencimientos'!I$13</f>
        <v>16232.45</v>
      </c>
      <c r="J112" s="81">
        <f>'[17]Flujos Vencimientos'!J$13</f>
        <v>101850.52</v>
      </c>
      <c r="K112" s="82">
        <f>'[17]Flujos Vencimientos'!K$13</f>
        <v>15224.03</v>
      </c>
      <c r="L112" s="81">
        <f>'[17]Flujos Vencimientos'!L$13</f>
        <v>102869.02</v>
      </c>
      <c r="M112" s="82">
        <f>'[17]Flujos Vencimientos'!M$13</f>
        <v>14205.52</v>
      </c>
      <c r="N112" s="51">
        <f t="shared" si="9"/>
        <v>602136.76</v>
      </c>
      <c r="O112" s="50">
        <f t="shared" si="10"/>
        <v>100310.51000000001</v>
      </c>
      <c r="P112" s="81">
        <f>'[17]Flujos Vencimientos'!N$13</f>
        <v>103897.71</v>
      </c>
      <c r="Q112" s="82">
        <f>'[17]Flujos Vencimientos'!O$13</f>
        <v>13176.83</v>
      </c>
      <c r="R112" s="81">
        <f>'[17]Flujos Vencimientos'!P$13</f>
        <v>104936.69</v>
      </c>
      <c r="S112" s="82">
        <f>'[17]Flujos Vencimientos'!Q$13</f>
        <v>12137.85</v>
      </c>
      <c r="T112" s="81">
        <f>'[17]Flujos Vencimientos'!R$13</f>
        <v>105986.06</v>
      </c>
      <c r="U112" s="82">
        <f>'[17]Flujos Vencimientos'!S$13</f>
        <v>11088.49</v>
      </c>
      <c r="V112" s="81">
        <f>'[17]Flujos Vencimientos'!T$13</f>
        <v>107045.92</v>
      </c>
      <c r="W112" s="82">
        <f>'[17]Flujos Vencimientos'!U$13</f>
        <v>10028.63</v>
      </c>
      <c r="X112" s="81">
        <f>'[17]Flujos Vencimientos'!V$13</f>
        <v>108116.38</v>
      </c>
      <c r="Y112" s="82">
        <f>'[17]Flujos Vencimientos'!W$13</f>
        <v>8958.17</v>
      </c>
      <c r="Z112" s="81">
        <f>'[17]Flujos Vencimientos'!X$13</f>
        <v>109197.54</v>
      </c>
      <c r="AA112" s="82">
        <f>'[17]Flujos Vencimientos'!Y$13</f>
        <v>7877</v>
      </c>
      <c r="AB112" s="51">
        <f t="shared" si="14"/>
        <v>1241317.06</v>
      </c>
      <c r="AC112" s="50">
        <f t="shared" si="15"/>
        <v>163577.48000000004</v>
      </c>
    </row>
    <row r="113" spans="1:29" ht="12.75">
      <c r="A113" s="34" t="s">
        <v>7</v>
      </c>
      <c r="B113" s="81">
        <f>'[16]Flujos Vencimientos'!B$13</f>
        <v>50624.91</v>
      </c>
      <c r="C113" s="82">
        <f>'[16]Flujos Vencimientos'!C$13</f>
        <v>9929.95</v>
      </c>
      <c r="D113" s="81">
        <f>'[16]Flujos Vencimientos'!D$13</f>
        <v>51131.16</v>
      </c>
      <c r="E113" s="82">
        <f>'[16]Flujos Vencimientos'!E$13</f>
        <v>9423.7</v>
      </c>
      <c r="F113" s="81">
        <f>'[16]Flujos Vencimientos'!F$13</f>
        <v>51642.47</v>
      </c>
      <c r="G113" s="82">
        <f>'[16]Flujos Vencimientos'!G$13</f>
        <v>8912.39</v>
      </c>
      <c r="H113" s="81">
        <f>'[16]Flujos Vencimientos'!H$13</f>
        <v>52158.9</v>
      </c>
      <c r="I113" s="82">
        <f>'[16]Flujos Vencimientos'!I$13</f>
        <v>8395.96</v>
      </c>
      <c r="J113" s="81">
        <f>'[16]Flujos Vencimientos'!J$13</f>
        <v>52680.49</v>
      </c>
      <c r="K113" s="82">
        <f>'[16]Flujos Vencimientos'!K$13</f>
        <v>7874.37</v>
      </c>
      <c r="L113" s="81">
        <f>'[16]Flujos Vencimientos'!L$13</f>
        <v>53207.29</v>
      </c>
      <c r="M113" s="82">
        <f>'[16]Flujos Vencimientos'!M$13</f>
        <v>7347.57</v>
      </c>
      <c r="N113" s="51">
        <f t="shared" si="9"/>
        <v>311445.22</v>
      </c>
      <c r="O113" s="50">
        <f t="shared" si="10"/>
        <v>51883.94</v>
      </c>
      <c r="P113" s="81">
        <f>'[16]Flujos Vencimientos'!N$13</f>
        <v>53739.36</v>
      </c>
      <c r="Q113" s="82">
        <f>'[16]Flujos Vencimientos'!O$13</f>
        <v>6815.5</v>
      </c>
      <c r="R113" s="81">
        <f>'[16]Flujos Vencimientos'!P$13</f>
        <v>54276.76</v>
      </c>
      <c r="S113" s="82">
        <f>'[16]Flujos Vencimientos'!Q$13</f>
        <v>6278.1</v>
      </c>
      <c r="T113" s="81">
        <f>'[16]Flujos Vencimientos'!R$13</f>
        <v>54819.52</v>
      </c>
      <c r="U113" s="82">
        <f>'[16]Flujos Vencimientos'!S$13</f>
        <v>5735.34</v>
      </c>
      <c r="V113" s="81">
        <f>'[16]Flujos Vencimientos'!T$13</f>
        <v>55367.72</v>
      </c>
      <c r="W113" s="82">
        <f>'[16]Flujos Vencimientos'!U$13</f>
        <v>5187.14</v>
      </c>
      <c r="X113" s="81">
        <f>'[16]Flujos Vencimientos'!V$13</f>
        <v>55921.4</v>
      </c>
      <c r="Y113" s="82">
        <f>'[16]Flujos Vencimientos'!W$13</f>
        <v>4633.46</v>
      </c>
      <c r="Z113" s="81">
        <f>'[16]Flujos Vencimientos'!X$13</f>
        <v>56480.61</v>
      </c>
      <c r="AA113" s="82">
        <f>'[16]Flujos Vencimientos'!Y$13</f>
        <v>4074.25</v>
      </c>
      <c r="AB113" s="51">
        <f t="shared" si="14"/>
        <v>642050.59</v>
      </c>
      <c r="AC113" s="50">
        <f t="shared" si="15"/>
        <v>84607.73000000001</v>
      </c>
    </row>
    <row r="114" spans="1:29" ht="12.75">
      <c r="A114" s="34" t="s">
        <v>105</v>
      </c>
      <c r="B114" s="401">
        <f>'[12]Flujo Vencimientos'!B13</f>
        <v>94571.02</v>
      </c>
      <c r="C114" s="82">
        <f>'[12]Flujo Vencimientos'!C13</f>
        <v>18549.87</v>
      </c>
      <c r="D114" s="401">
        <f>'[12]Flujo Vencimientos'!D13</f>
        <v>95516.74</v>
      </c>
      <c r="E114" s="82">
        <f>'[12]Flujo Vencimientos'!E13</f>
        <v>17604.16</v>
      </c>
      <c r="F114" s="401">
        <f>'[12]Flujo Vencimientos'!F13</f>
        <v>96471.9</v>
      </c>
      <c r="G114" s="82">
        <f>'[12]Flujo Vencimientos'!G13</f>
        <v>16648.99</v>
      </c>
      <c r="H114" s="401">
        <f>'[12]Flujo Vencimientos'!H13</f>
        <v>97436.62</v>
      </c>
      <c r="I114" s="82">
        <f>'[12]Flujo Vencimientos'!I13</f>
        <v>15684.27</v>
      </c>
      <c r="J114" s="401">
        <f>'[12]Flujo Vencimientos'!J13</f>
        <v>98410.99</v>
      </c>
      <c r="K114" s="82">
        <f>'[12]Flujo Vencimientos'!K13</f>
        <v>14709.91</v>
      </c>
      <c r="L114" s="401">
        <f>'[12]Flujo Vencimientos'!L13</f>
        <v>99395.1</v>
      </c>
      <c r="M114" s="82">
        <f>'[12]Flujo Vencimientos'!M13</f>
        <v>13725.8</v>
      </c>
      <c r="N114" s="51">
        <f t="shared" si="9"/>
        <v>581802.37</v>
      </c>
      <c r="O114" s="50">
        <f t="shared" si="10"/>
        <v>96923.00000000001</v>
      </c>
      <c r="P114" s="401">
        <f>'[12]Flujo Vencimientos'!N13</f>
        <v>100389.05</v>
      </c>
      <c r="Q114" s="82">
        <f>'[12]Flujo Vencimientos'!O13</f>
        <v>12731.84</v>
      </c>
      <c r="R114" s="401">
        <f>'[12]Flujo Vencimientos'!P13</f>
        <v>101392.94</v>
      </c>
      <c r="S114" s="82">
        <f>'[12]Flujo Vencimientos'!Q13</f>
        <v>11727.95</v>
      </c>
      <c r="T114" s="401">
        <f>'[12]Flujo Vencimientos'!R13</f>
        <v>102406.87</v>
      </c>
      <c r="U114" s="82">
        <f>'[12]Flujo Vencimientos'!S13</f>
        <v>10714.02</v>
      </c>
      <c r="V114" s="401">
        <f>'[12]Flujo Vencimientos'!T13</f>
        <v>103430.94</v>
      </c>
      <c r="W114" s="82">
        <f>'[12]Flujo Vencimientos'!U13</f>
        <v>9689.96</v>
      </c>
      <c r="X114" s="401">
        <f>'[12]Flujo Vencimientos'!V13</f>
        <v>104465.25</v>
      </c>
      <c r="Y114" s="82">
        <f>'[12]Flujo Vencimientos'!W13</f>
        <v>8655.65</v>
      </c>
      <c r="Z114" s="401">
        <f>'[12]Flujo Vencimientos'!X13</f>
        <v>105509.9</v>
      </c>
      <c r="AA114" s="82">
        <f>'[12]Flujo Vencimientos'!Y13</f>
        <v>7610.99</v>
      </c>
      <c r="AB114" s="51">
        <f t="shared" si="14"/>
        <v>1199397.32</v>
      </c>
      <c r="AC114" s="50">
        <f t="shared" si="15"/>
        <v>158053.40999999997</v>
      </c>
    </row>
    <row r="115" spans="1:29" ht="12.75">
      <c r="A115" s="34" t="s">
        <v>4</v>
      </c>
      <c r="B115" s="401">
        <f>'[15]Flujos Vencimientos'!B13</f>
        <v>61843.54</v>
      </c>
      <c r="C115" s="82">
        <f>'[15]Flujos Vencimientos'!C13</f>
        <v>12130.45</v>
      </c>
      <c r="D115" s="401">
        <f>'[15]Flujos Vencimientos'!D13</f>
        <v>62461.97</v>
      </c>
      <c r="E115" s="82">
        <f>'[15]Flujos Vencimientos'!E13</f>
        <v>11512.02</v>
      </c>
      <c r="F115" s="401">
        <f>'[15]Flujos Vencimientos'!F13</f>
        <v>63086.59</v>
      </c>
      <c r="G115" s="82">
        <f>'[15]Flujos Vencimientos'!G13</f>
        <v>10887.4</v>
      </c>
      <c r="H115" s="401">
        <f>'[15]Flujos Vencimientos'!H13</f>
        <v>63717.46</v>
      </c>
      <c r="I115" s="82">
        <f>'[15]Flujos Vencimientos'!I13</f>
        <v>10256.53</v>
      </c>
      <c r="J115" s="401">
        <f>'[15]Flujos Vencimientos'!J13</f>
        <v>64354.63</v>
      </c>
      <c r="K115" s="82">
        <f>'[15]Flujos Vencimientos'!K13</f>
        <v>9619.36</v>
      </c>
      <c r="L115" s="401">
        <f>'[15]Flujos Vencimientos'!L13</f>
        <v>64998.18</v>
      </c>
      <c r="M115" s="82">
        <f>'[15]Flujos Vencimientos'!M13</f>
        <v>8975.81</v>
      </c>
      <c r="N115" s="51">
        <f t="shared" si="9"/>
        <v>380462.37</v>
      </c>
      <c r="O115" s="50">
        <f t="shared" si="10"/>
        <v>63381.57</v>
      </c>
      <c r="P115" s="401">
        <f>'[15]Flujos Vencimientos'!N13</f>
        <v>65648.16</v>
      </c>
      <c r="Q115" s="82">
        <f>'[15]Flujos Vencimientos'!O13</f>
        <v>8325.83</v>
      </c>
      <c r="R115" s="401">
        <f>'[15]Flujos Vencimientos'!P13</f>
        <v>66304.64</v>
      </c>
      <c r="S115" s="82">
        <f>'[15]Flujos Vencimientos'!Q13</f>
        <v>7669.35</v>
      </c>
      <c r="T115" s="401">
        <f>'[15]Flujos Vencimientos'!R13</f>
        <v>66967.69</v>
      </c>
      <c r="U115" s="82">
        <f>'[15]Flujos Vencimientos'!S13</f>
        <v>7006.3</v>
      </c>
      <c r="V115" s="401">
        <f>'[15]Flujos Vencimientos'!T13</f>
        <v>67637.37</v>
      </c>
      <c r="W115" s="82">
        <f>'[15]Flujos Vencimientos'!U13</f>
        <v>6336.63</v>
      </c>
      <c r="X115" s="401">
        <f>'[15]Flujos Vencimientos'!V13</f>
        <v>68313.74</v>
      </c>
      <c r="Y115" s="82">
        <f>'[15]Flujos Vencimientos'!W13</f>
        <v>5660.25</v>
      </c>
      <c r="Z115" s="401">
        <f>'[15]Flujos Vencimientos'!X13</f>
        <v>68996.88</v>
      </c>
      <c r="AA115" s="82">
        <f>'[15]Flujos Vencimientos'!Y13</f>
        <v>4977.11</v>
      </c>
      <c r="AB115" s="51">
        <f t="shared" si="14"/>
        <v>784330.8500000001</v>
      </c>
      <c r="AC115" s="50">
        <f t="shared" si="15"/>
        <v>103357.04000000001</v>
      </c>
    </row>
    <row r="116" spans="1:29" ht="12.75">
      <c r="A116" s="34" t="s">
        <v>10</v>
      </c>
      <c r="B116" s="81">
        <f>'[8]Flujos Vencimientos'!B$13</f>
        <v>51461.64</v>
      </c>
      <c r="C116" s="82">
        <f>'[8]Flujos Vencimientos'!C$13</f>
        <v>10709.63</v>
      </c>
      <c r="D116" s="81">
        <f>'[8]Flujos Vencimientos'!D$13</f>
        <v>51976.26</v>
      </c>
      <c r="E116" s="82">
        <f>'[8]Flujos Vencimientos'!E$13</f>
        <v>10195.01</v>
      </c>
      <c r="F116" s="81">
        <f>'[8]Flujos Vencimientos'!F$13</f>
        <v>52496.02</v>
      </c>
      <c r="G116" s="82">
        <f>'[8]Flujos Vencimientos'!G$13</f>
        <v>9675.25</v>
      </c>
      <c r="H116" s="81">
        <f>'[8]Flujos Vencimientos'!H$13</f>
        <v>53020.98</v>
      </c>
      <c r="I116" s="82">
        <f>'[8]Flujos Vencimientos'!I$13</f>
        <v>9150.29</v>
      </c>
      <c r="J116" s="81">
        <f>'[8]Flujos Vencimientos'!J$13</f>
        <v>53551.19</v>
      </c>
      <c r="K116" s="82">
        <f>'[8]Flujos Vencimientos'!K$13</f>
        <v>8620.08</v>
      </c>
      <c r="L116" s="81">
        <f>'[8]Flujos Vencimientos'!L$13</f>
        <v>54086.7</v>
      </c>
      <c r="M116" s="82">
        <f>'[8]Flujos Vencimientos'!M$13</f>
        <v>8084.57</v>
      </c>
      <c r="N116" s="51">
        <f t="shared" si="9"/>
        <v>316592.79</v>
      </c>
      <c r="O116" s="50">
        <f t="shared" si="10"/>
        <v>56434.83</v>
      </c>
      <c r="P116" s="81">
        <f>'[8]Flujos Vencimientos'!N$13</f>
        <v>54627.57</v>
      </c>
      <c r="Q116" s="82">
        <f>'[8]Flujos Vencimientos'!O$13</f>
        <v>7543.7</v>
      </c>
      <c r="R116" s="81">
        <f>'[8]Flujos Vencimientos'!P$13</f>
        <v>55173.84</v>
      </c>
      <c r="S116" s="82">
        <f>'[8]Flujos Vencimientos'!Q$13</f>
        <v>6997.42</v>
      </c>
      <c r="T116" s="81">
        <f>'[8]Flujos Vencimientos'!R$13</f>
        <v>55725.58</v>
      </c>
      <c r="U116" s="82">
        <f>'[8]Flujos Vencimientos'!S$13</f>
        <v>6445.69</v>
      </c>
      <c r="V116" s="81">
        <f>'[8]Flujos Vencimientos'!T$13</f>
        <v>56282.84</v>
      </c>
      <c r="W116" s="82">
        <f>'[8]Flujos Vencimientos'!U$13</f>
        <v>5888.43</v>
      </c>
      <c r="X116" s="81">
        <f>'[8]Flujos Vencimientos'!V$13</f>
        <v>56845.67</v>
      </c>
      <c r="Y116" s="82">
        <f>'[8]Flujos Vencimientos'!W$13</f>
        <v>5325.6</v>
      </c>
      <c r="Z116" s="81">
        <f>'[8]Flujos Vencimientos'!X$13</f>
        <v>57414.12</v>
      </c>
      <c r="AA116" s="82">
        <f>'[8]Flujos Vencimientos'!Y$13</f>
        <v>4757.15</v>
      </c>
      <c r="AB116" s="51">
        <f t="shared" si="14"/>
        <v>652662.41</v>
      </c>
      <c r="AC116" s="50">
        <f t="shared" si="15"/>
        <v>93392.82</v>
      </c>
    </row>
    <row r="117" spans="1:29" ht="12.75">
      <c r="A117" s="34" t="s">
        <v>11</v>
      </c>
      <c r="B117" s="81">
        <f>'[4]Flujos Vencimientos'!B$13</f>
        <v>74518.64</v>
      </c>
      <c r="C117" s="82">
        <f>'[4]Flujos Vencimientos'!C$13</f>
        <v>14616.64</v>
      </c>
      <c r="D117" s="81">
        <f>'[4]Flujos Vencimientos'!D$13</f>
        <v>75263.83</v>
      </c>
      <c r="E117" s="82">
        <f>'[4]Flujos Vencimientos'!E$13</f>
        <v>13871.46</v>
      </c>
      <c r="F117" s="81">
        <f>'[4]Flujos Vencimientos'!F$13</f>
        <v>76016.47</v>
      </c>
      <c r="G117" s="82">
        <f>'[4]Flujos Vencimientos'!G$13</f>
        <v>13118.82</v>
      </c>
      <c r="H117" s="81">
        <f>'[4]Flujos Vencimientos'!H$13</f>
        <v>76776.63</v>
      </c>
      <c r="I117" s="82">
        <f>'[4]Flujos Vencimientos'!I$13</f>
        <v>12358.65</v>
      </c>
      <c r="J117" s="81">
        <f>'[4]Flujos Vencimientos'!J$13</f>
        <v>77544.4</v>
      </c>
      <c r="K117" s="82">
        <f>'[4]Flujos Vencimientos'!K$13</f>
        <v>11590.89</v>
      </c>
      <c r="L117" s="81">
        <f>'[4]Flujos Vencimientos'!L$13</f>
        <v>78319.85</v>
      </c>
      <c r="M117" s="82">
        <f>'[4]Flujos Vencimientos'!M$13</f>
        <v>10815.44</v>
      </c>
      <c r="N117" s="51">
        <f t="shared" si="9"/>
        <v>458439.81999999995</v>
      </c>
      <c r="O117" s="50">
        <f t="shared" si="10"/>
        <v>76371.9</v>
      </c>
      <c r="P117" s="81">
        <f>'[4]Flujos Vencimientos'!N$13</f>
        <v>79103.04</v>
      </c>
      <c r="Q117" s="82">
        <f>'[4]Flujos Vencimientos'!O$13</f>
        <v>10032.25</v>
      </c>
      <c r="R117" s="81">
        <f>'[4]Flujos Vencimientos'!P$13</f>
        <v>79894.07</v>
      </c>
      <c r="S117" s="82">
        <f>'[4]Flujos Vencimientos'!Q$13</f>
        <v>9241.22</v>
      </c>
      <c r="T117" s="81">
        <f>'[4]Flujos Vencimientos'!R$13</f>
        <v>80693.02</v>
      </c>
      <c r="U117" s="82">
        <f>'[4]Flujos Vencimientos'!S$13</f>
        <v>8442.27</v>
      </c>
      <c r="V117" s="81">
        <f>'[4]Flujos Vencimientos'!T$13</f>
        <v>81499.95</v>
      </c>
      <c r="W117" s="82">
        <f>'[4]Flujos Vencimientos'!U$13</f>
        <v>7635.34</v>
      </c>
      <c r="X117" s="81">
        <f>'[4]Flujos Vencimientos'!V$13</f>
        <v>82314.94</v>
      </c>
      <c r="Y117" s="82">
        <f>'[4]Flujos Vencimientos'!W$13</f>
        <v>6820.35</v>
      </c>
      <c r="Z117" s="81">
        <f>'[4]Flujos Vencimientos'!X$13</f>
        <v>83138.09</v>
      </c>
      <c r="AA117" s="82">
        <f>'[4]Flujos Vencimientos'!Y$13</f>
        <v>5997.2</v>
      </c>
      <c r="AB117" s="51">
        <f t="shared" si="14"/>
        <v>945082.9299999998</v>
      </c>
      <c r="AC117" s="50">
        <f t="shared" si="15"/>
        <v>124540.53</v>
      </c>
    </row>
    <row r="118" spans="1:29" ht="12.75">
      <c r="A118" s="34" t="s">
        <v>6</v>
      </c>
      <c r="B118" s="81">
        <f>'[2]Flujos Vencimientos'!B$13</f>
        <v>22662.81</v>
      </c>
      <c r="C118" s="82">
        <f>'[2]Flujos Vencimientos'!C$13</f>
        <v>4445.25</v>
      </c>
      <c r="D118" s="81">
        <f>'[2]Flujos Vencimientos'!D$13</f>
        <v>22889.44</v>
      </c>
      <c r="E118" s="82">
        <f>'[2]Flujos Vencimientos'!E$13</f>
        <v>4218.62</v>
      </c>
      <c r="F118" s="81">
        <f>'[2]Flujos Vencimientos'!F$13</f>
        <v>23118.33</v>
      </c>
      <c r="G118" s="82">
        <f>'[2]Flujos Vencimientos'!G$13</f>
        <v>3989.73</v>
      </c>
      <c r="H118" s="81">
        <f>'[2]Flujos Vencimientos'!H$13</f>
        <v>23349.51</v>
      </c>
      <c r="I118" s="82">
        <f>'[2]Flujos Vencimientos'!I$13</f>
        <v>3758.55</v>
      </c>
      <c r="J118" s="81">
        <f>'[2]Flujos Vencimientos'!J$13</f>
        <v>23583.01</v>
      </c>
      <c r="K118" s="82">
        <f>'[2]Flujos Vencimientos'!K$13</f>
        <v>3525.05</v>
      </c>
      <c r="L118" s="81">
        <f>'[2]Flujos Vencimientos'!L$13</f>
        <v>23818.84</v>
      </c>
      <c r="M118" s="82">
        <f>'[2]Flujos Vencimientos'!M$13</f>
        <v>3289.22</v>
      </c>
      <c r="N118" s="51">
        <f t="shared" si="9"/>
        <v>139421.94</v>
      </c>
      <c r="O118" s="50">
        <f t="shared" si="10"/>
        <v>23226.42</v>
      </c>
      <c r="P118" s="81">
        <f>'[2]Flujos Vencimientos'!N$13</f>
        <v>24057.03</v>
      </c>
      <c r="Q118" s="82">
        <f>'[2]Flujos Vencimientos'!O$13</f>
        <v>3051.03</v>
      </c>
      <c r="R118" s="81">
        <f>'[2]Flujos Vencimientos'!P$13</f>
        <v>24297.6</v>
      </c>
      <c r="S118" s="82">
        <f>'[2]Flujos Vencimientos'!Q$13</f>
        <v>2810.46</v>
      </c>
      <c r="T118" s="81">
        <f>'[2]Flujos Vencimientos'!R$13</f>
        <v>24540.57</v>
      </c>
      <c r="U118" s="82">
        <f>'[2]Flujos Vencimientos'!S$13</f>
        <v>2567.49</v>
      </c>
      <c r="V118" s="81">
        <f>'[2]Flujos Vencimientos'!T$13</f>
        <v>24785.98</v>
      </c>
      <c r="W118" s="82">
        <f>'[2]Flujos Vencimientos'!U$13</f>
        <v>2322.08</v>
      </c>
      <c r="X118" s="81">
        <f>'[2]Flujos Vencimientos'!V$13</f>
        <v>25033.84</v>
      </c>
      <c r="Y118" s="82">
        <f>'[2]Flujos Vencimientos'!W$13</f>
        <v>2074.22</v>
      </c>
      <c r="Z118" s="81">
        <f>'[2]Flujos Vencimientos'!X$13</f>
        <v>25284.18</v>
      </c>
      <c r="AA118" s="82">
        <f>'[2]Flujos Vencimientos'!Y$13</f>
        <v>1823.88</v>
      </c>
      <c r="AB118" s="51">
        <f t="shared" si="14"/>
        <v>287421.14</v>
      </c>
      <c r="AC118" s="50">
        <f t="shared" si="15"/>
        <v>37875.579999999994</v>
      </c>
    </row>
    <row r="119" spans="1:29" ht="12.75">
      <c r="A119" s="134" t="s">
        <v>27</v>
      </c>
      <c r="B119" s="32">
        <f aca="true" t="shared" si="16" ref="B119:M119">SUM(B120:B122)</f>
        <v>301811.85</v>
      </c>
      <c r="C119" s="31">
        <f t="shared" si="16"/>
        <v>46994.45</v>
      </c>
      <c r="D119" s="32">
        <f t="shared" si="16"/>
        <v>305420.24</v>
      </c>
      <c r="E119" s="31">
        <f t="shared" si="16"/>
        <v>42581.86</v>
      </c>
      <c r="F119" s="32">
        <f t="shared" si="16"/>
        <v>307912.47000000003</v>
      </c>
      <c r="G119" s="31">
        <f t="shared" si="16"/>
        <v>46993.810000000005</v>
      </c>
      <c r="H119" s="32">
        <f t="shared" si="16"/>
        <v>310425.04</v>
      </c>
      <c r="I119" s="31">
        <f t="shared" si="16"/>
        <v>45340.159999999996</v>
      </c>
      <c r="J119" s="32">
        <f t="shared" si="16"/>
        <v>312958.11000000004</v>
      </c>
      <c r="K119" s="31">
        <f t="shared" si="16"/>
        <v>46697.37</v>
      </c>
      <c r="L119" s="32">
        <f t="shared" si="16"/>
        <v>315511.84</v>
      </c>
      <c r="M119" s="31">
        <f t="shared" si="16"/>
        <v>45042.52</v>
      </c>
      <c r="N119" s="32">
        <f t="shared" si="9"/>
        <v>1854039.5500000003</v>
      </c>
      <c r="O119" s="31">
        <f t="shared" si="10"/>
        <v>273650.17</v>
      </c>
      <c r="P119" s="32">
        <f aca="true" t="shared" si="17" ref="P119:AA119">SUM(P120:P122)</f>
        <v>318086.42</v>
      </c>
      <c r="Q119" s="31">
        <f t="shared" si="17"/>
        <v>46378.67999999999</v>
      </c>
      <c r="R119" s="32">
        <f t="shared" si="17"/>
        <v>320682.00999999995</v>
      </c>
      <c r="S119" s="31">
        <f t="shared" si="17"/>
        <v>46210.78</v>
      </c>
      <c r="T119" s="32">
        <f t="shared" si="17"/>
        <v>323298.77</v>
      </c>
      <c r="U119" s="31">
        <f t="shared" si="17"/>
        <v>44554.91</v>
      </c>
      <c r="V119" s="32">
        <f t="shared" si="17"/>
        <v>325936.88999999996</v>
      </c>
      <c r="W119" s="31">
        <f t="shared" si="17"/>
        <v>45857.46</v>
      </c>
      <c r="X119" s="32">
        <f t="shared" si="17"/>
        <v>328596.54</v>
      </c>
      <c r="Y119" s="31">
        <f t="shared" si="17"/>
        <v>44201.44</v>
      </c>
      <c r="Z119" s="32">
        <f t="shared" si="17"/>
        <v>331277.88</v>
      </c>
      <c r="AA119" s="31">
        <f t="shared" si="17"/>
        <v>45480.21000000001</v>
      </c>
      <c r="AB119" s="32">
        <f t="shared" si="14"/>
        <v>3801918.06</v>
      </c>
      <c r="AC119" s="31">
        <f t="shared" si="15"/>
        <v>546333.65</v>
      </c>
    </row>
    <row r="120" spans="1:29" ht="12.75">
      <c r="A120" s="34" t="s">
        <v>22</v>
      </c>
      <c r="B120" s="81">
        <f>'[43]Flujo para el libro'!B$13</f>
        <v>184367.62</v>
      </c>
      <c r="C120" s="82">
        <f>'[43]Flujo para el libro'!C$13</f>
        <v>28707.48</v>
      </c>
      <c r="D120" s="81">
        <f>'[43]Flujo para el libro'!D$13</f>
        <v>186426.29</v>
      </c>
      <c r="E120" s="82">
        <f>'[43]Flujo para el libro'!E$13</f>
        <v>25932.84</v>
      </c>
      <c r="F120" s="81">
        <f>'[43]Flujo para el libro'!F$13</f>
        <v>187947.53</v>
      </c>
      <c r="G120" s="82">
        <f>'[43]Flujo para el libro'!G$13</f>
        <v>28626.39</v>
      </c>
      <c r="H120" s="81">
        <f>'[43]Flujo para el libro'!H$13</f>
        <v>189481.18</v>
      </c>
      <c r="I120" s="82">
        <f>'[43]Flujo para el libro'!I$13</f>
        <v>27617.54</v>
      </c>
      <c r="J120" s="81">
        <f>'[43]Flujo para el libro'!J$13</f>
        <v>191027.35</v>
      </c>
      <c r="K120" s="82">
        <f>'[43]Flujo para el libro'!K$13</f>
        <v>28446.51</v>
      </c>
      <c r="L120" s="81">
        <f>'[43]Flujo para el libro'!L$13</f>
        <v>192586.13</v>
      </c>
      <c r="M120" s="82">
        <f>'[43]Flujo para el libro'!M$13</f>
        <v>27436.93</v>
      </c>
      <c r="N120" s="51">
        <f t="shared" si="9"/>
        <v>1131836.1</v>
      </c>
      <c r="O120" s="50">
        <f t="shared" si="10"/>
        <v>166767.69</v>
      </c>
      <c r="P120" s="81">
        <f>'[43]Flujo para el libro'!N$13</f>
        <v>194157.63</v>
      </c>
      <c r="Q120" s="82">
        <f>'[43]Flujo para el libro'!O$13</f>
        <v>28253.04</v>
      </c>
      <c r="R120" s="81">
        <f>'[43]Flujo para el libro'!P$13</f>
        <v>195741.96000000002</v>
      </c>
      <c r="S120" s="82">
        <f>'[43]Flujo para el libro'!Q$13</f>
        <v>28151.1</v>
      </c>
      <c r="T120" s="81">
        <f>'[43]Flujo para el libro'!R$13</f>
        <v>197339.21000000002</v>
      </c>
      <c r="U120" s="82">
        <f>'[43]Flujo para el libro'!S$13</f>
        <v>27140.91</v>
      </c>
      <c r="V120" s="81">
        <f>'[43]Flujo para el libro'!T$13</f>
        <v>198949.5</v>
      </c>
      <c r="W120" s="82">
        <f>'[43]Flujo para el libro'!U$13</f>
        <v>27936.51</v>
      </c>
      <c r="X120" s="81">
        <f>'[43]Flujo para el libro'!V$13</f>
        <v>200572.93</v>
      </c>
      <c r="Y120" s="82">
        <f>'[43]Flujo para el libro'!W$13</f>
        <v>26926.24</v>
      </c>
      <c r="Z120" s="81">
        <f>'[43]Flujo para el libro'!X$13</f>
        <v>202209.6</v>
      </c>
      <c r="AA120" s="82">
        <f>'[43]Flujo para el libro'!Y$13</f>
        <v>27707.34</v>
      </c>
      <c r="AB120" s="51">
        <f t="shared" si="14"/>
        <v>2320806.93</v>
      </c>
      <c r="AC120" s="50">
        <f t="shared" si="15"/>
        <v>332882.83</v>
      </c>
    </row>
    <row r="121" spans="1:29" ht="12.75">
      <c r="A121" s="34" t="s">
        <v>128</v>
      </c>
      <c r="B121" s="81">
        <f>'[30]Flujo para el libro'!B$13</f>
        <v>110572.87</v>
      </c>
      <c r="C121" s="82">
        <f>'[30]Flujo para el libro'!C$13</f>
        <v>17217.05</v>
      </c>
      <c r="D121" s="81">
        <f>'[30]Flujo para el libro'!D$13</f>
        <v>112031.94</v>
      </c>
      <c r="E121" s="82">
        <f>'[30]Flujo para el libro'!E$13</f>
        <v>15673.859999999999</v>
      </c>
      <c r="F121" s="81">
        <f>'[30]Flujo para el libro'!F$13</f>
        <v>112946.12</v>
      </c>
      <c r="G121" s="82">
        <f>'[30]Flujo para el libro'!G$13</f>
        <v>17291.690000000002</v>
      </c>
      <c r="H121" s="81">
        <f>'[30]Flujo para el libro'!H$13</f>
        <v>113867.76000000001</v>
      </c>
      <c r="I121" s="82">
        <f>'[30]Flujo para el libro'!I$13</f>
        <v>16684.579999999998</v>
      </c>
      <c r="J121" s="81">
        <f>'[30]Flujo para el libro'!J$13</f>
        <v>114796.91999999998</v>
      </c>
      <c r="K121" s="82">
        <f>'[30]Flujo para el libro'!K$13</f>
        <v>17181.9</v>
      </c>
      <c r="L121" s="81">
        <f>'[30]Flujo para el libro'!L$13</f>
        <v>115733.66</v>
      </c>
      <c r="M121" s="82">
        <f>'[30]Flujo para el libro'!M$13</f>
        <v>16574.35</v>
      </c>
      <c r="N121" s="51">
        <f t="shared" si="9"/>
        <v>679949.27</v>
      </c>
      <c r="O121" s="50">
        <f t="shared" si="10"/>
        <v>100623.43</v>
      </c>
      <c r="P121" s="81">
        <f>'[30]Flujo para el libro'!N$13</f>
        <v>116678.04999999999</v>
      </c>
      <c r="Q121" s="82">
        <f>'[30]Flujo para el libro'!O$13</f>
        <v>17063.94</v>
      </c>
      <c r="R121" s="81">
        <f>'[30]Flujo para el libro'!P$13</f>
        <v>117630.13999999998</v>
      </c>
      <c r="S121" s="82">
        <f>'[30]Flujo para el libro'!Q$13</f>
        <v>17001.809999999998</v>
      </c>
      <c r="T121" s="81">
        <f>'[30]Flujo para el libro'!R$13</f>
        <v>118590.01000000001</v>
      </c>
      <c r="U121" s="82">
        <f>'[30]Flujo para el libro'!S$13</f>
        <v>16393.88</v>
      </c>
      <c r="V121" s="81">
        <f>'[30]Flujo para el libro'!T$13</f>
        <v>119557.69999999998</v>
      </c>
      <c r="W121" s="82">
        <f>'[30]Flujo para el libro'!U$13</f>
        <v>16871.140000000003</v>
      </c>
      <c r="X121" s="81">
        <f>'[30]Flujo para el libro'!V$13</f>
        <v>120533.29000000001</v>
      </c>
      <c r="Y121" s="82">
        <f>'[30]Flujo para el libro'!W$13</f>
        <v>16263.15</v>
      </c>
      <c r="Z121" s="81">
        <f>'[30]Flujo para el libro'!X$13</f>
        <v>121516.84</v>
      </c>
      <c r="AA121" s="82">
        <f>'[30]Flujo para el libro'!Y$13</f>
        <v>16731.68</v>
      </c>
      <c r="AB121" s="51">
        <f t="shared" si="14"/>
        <v>1394455.3000000003</v>
      </c>
      <c r="AC121" s="50">
        <f t="shared" si="15"/>
        <v>200949.03</v>
      </c>
    </row>
    <row r="122" spans="1:29" ht="12.75">
      <c r="A122" s="34" t="s">
        <v>11</v>
      </c>
      <c r="B122" s="81">
        <f>'[5]Flujo para el libro'!B$13</f>
        <v>6871.360000000001</v>
      </c>
      <c r="C122" s="82">
        <f>'[5]Flujo para el libro'!C$13</f>
        <v>1069.92</v>
      </c>
      <c r="D122" s="81">
        <f>'[5]Flujo para el libro'!D$13</f>
        <v>6962.01</v>
      </c>
      <c r="E122" s="82">
        <f>'[5]Flujo para el libro'!E$13</f>
        <v>975.1600000000001</v>
      </c>
      <c r="F122" s="81">
        <f>'[5]Flujo para el libro'!F$13</f>
        <v>7018.82</v>
      </c>
      <c r="G122" s="82">
        <f>'[5]Flujo para el libro'!G$13</f>
        <v>1075.73</v>
      </c>
      <c r="H122" s="81">
        <f>'[5]Flujo para el libro'!H$13</f>
        <v>7076.1</v>
      </c>
      <c r="I122" s="82">
        <f>'[5]Flujo para el libro'!I$13</f>
        <v>1038.04</v>
      </c>
      <c r="J122" s="81">
        <f>'[5]Flujo para el libro'!J$13</f>
        <v>7133.84</v>
      </c>
      <c r="K122" s="82">
        <f>'[5]Flujo para el libro'!K$13</f>
        <v>1068.96</v>
      </c>
      <c r="L122" s="81">
        <f>'[5]Flujo para el libro'!L$13</f>
        <v>7192.049999999999</v>
      </c>
      <c r="M122" s="82">
        <f>'[5]Flujo para el libro'!M$13</f>
        <v>1031.2399999999998</v>
      </c>
      <c r="N122" s="51">
        <f t="shared" si="9"/>
        <v>42254.18000000001</v>
      </c>
      <c r="O122" s="50">
        <f t="shared" si="10"/>
        <v>6259.05</v>
      </c>
      <c r="P122" s="81">
        <f>'[5]Flujo para el libro'!N$13</f>
        <v>7250.74</v>
      </c>
      <c r="Q122" s="82">
        <f>'[5]Flujo para el libro'!O$13</f>
        <v>1061.6999999999998</v>
      </c>
      <c r="R122" s="81">
        <f>'[5]Flujo para el libro'!P$13</f>
        <v>7309.91</v>
      </c>
      <c r="S122" s="82">
        <f>'[5]Flujo para el libro'!Q$13</f>
        <v>1057.87</v>
      </c>
      <c r="T122" s="81">
        <f>'[5]Flujo para el libro'!R$13</f>
        <v>7369.549999999999</v>
      </c>
      <c r="U122" s="82">
        <f>'[5]Flujo para el libro'!S$13</f>
        <v>1020.1199999999999</v>
      </c>
      <c r="V122" s="81">
        <f>'[5]Flujo para el libro'!T$13</f>
        <v>7429.6900000000005</v>
      </c>
      <c r="W122" s="82">
        <f>'[5]Flujo para el libro'!U$13</f>
        <v>1049.81</v>
      </c>
      <c r="X122" s="81">
        <f>'[5]Flujo para el libro'!V$13</f>
        <v>7490.32</v>
      </c>
      <c r="Y122" s="82">
        <f>'[5]Flujo para el libro'!W$13</f>
        <v>1012.0499999999998</v>
      </c>
      <c r="Z122" s="81">
        <f>'[5]Flujo para el libro'!X$13</f>
        <v>7551.4400000000005</v>
      </c>
      <c r="AA122" s="82">
        <f>'[5]Flujo para el libro'!Y$13</f>
        <v>1041.19</v>
      </c>
      <c r="AB122" s="51">
        <f t="shared" si="14"/>
        <v>86655.83000000002</v>
      </c>
      <c r="AC122" s="50">
        <f t="shared" si="15"/>
        <v>12501.789999999997</v>
      </c>
    </row>
    <row r="123" spans="1:29" ht="12.75">
      <c r="A123" s="33" t="s">
        <v>129</v>
      </c>
      <c r="B123" s="32">
        <f>SUM(B124:B131)</f>
        <v>985562.6100000001</v>
      </c>
      <c r="C123" s="31">
        <f>SUM(C124:C131)</f>
        <v>394769.02</v>
      </c>
      <c r="D123" s="32">
        <f aca="true" t="shared" si="18" ref="D123:M123">SUM(D124:D131)</f>
        <v>998261.54</v>
      </c>
      <c r="E123" s="31">
        <f t="shared" si="18"/>
        <v>382070.11</v>
      </c>
      <c r="F123" s="32">
        <f t="shared" si="18"/>
        <v>1011125.31</v>
      </c>
      <c r="G123" s="31">
        <f t="shared" si="18"/>
        <v>369206.33</v>
      </c>
      <c r="H123" s="32">
        <f t="shared" si="18"/>
        <v>1024156.0900000001</v>
      </c>
      <c r="I123" s="31">
        <f t="shared" si="18"/>
        <v>356175.55000000005</v>
      </c>
      <c r="J123" s="32">
        <f t="shared" si="18"/>
        <v>1037356.0700000001</v>
      </c>
      <c r="K123" s="31">
        <f t="shared" si="18"/>
        <v>342975.56999999995</v>
      </c>
      <c r="L123" s="32">
        <f t="shared" si="18"/>
        <v>1050727.44</v>
      </c>
      <c r="M123" s="31">
        <f t="shared" si="18"/>
        <v>329604.21</v>
      </c>
      <c r="N123" s="32">
        <f t="shared" si="9"/>
        <v>6107189.0600000005</v>
      </c>
      <c r="O123" s="31">
        <f t="shared" si="10"/>
        <v>2174800.79</v>
      </c>
      <c r="P123" s="32">
        <f aca="true" t="shared" si="19" ref="P123:AA123">SUM(P124:P131)</f>
        <v>890878.69</v>
      </c>
      <c r="Q123" s="31">
        <f t="shared" si="19"/>
        <v>316059.18000000005</v>
      </c>
      <c r="R123" s="32">
        <f t="shared" si="19"/>
        <v>902260.2400000001</v>
      </c>
      <c r="S123" s="31">
        <f t="shared" si="19"/>
        <v>304677.62</v>
      </c>
      <c r="T123" s="32">
        <f t="shared" si="19"/>
        <v>913788.4600000001</v>
      </c>
      <c r="U123" s="31">
        <f t="shared" si="19"/>
        <v>293149.4</v>
      </c>
      <c r="V123" s="32">
        <f t="shared" si="19"/>
        <v>925465.25</v>
      </c>
      <c r="W123" s="31">
        <f t="shared" si="19"/>
        <v>281472.63</v>
      </c>
      <c r="X123" s="32">
        <f t="shared" si="19"/>
        <v>616170.98</v>
      </c>
      <c r="Y123" s="31">
        <f t="shared" si="19"/>
        <v>269645.37</v>
      </c>
      <c r="Z123" s="32">
        <f t="shared" si="19"/>
        <v>624153.3899999999</v>
      </c>
      <c r="AA123" s="31">
        <f t="shared" si="19"/>
        <v>261662.96999999997</v>
      </c>
      <c r="AB123" s="32">
        <f t="shared" si="14"/>
        <v>10979906.070000002</v>
      </c>
      <c r="AC123" s="31">
        <f t="shared" si="15"/>
        <v>3901467.96</v>
      </c>
    </row>
    <row r="124" spans="1:29" ht="12.75">
      <c r="A124" s="34" t="s">
        <v>21</v>
      </c>
      <c r="B124" s="81"/>
      <c r="C124" s="82"/>
      <c r="D124" s="81"/>
      <c r="E124" s="82"/>
      <c r="F124" s="81"/>
      <c r="G124" s="82"/>
      <c r="H124" s="81"/>
      <c r="I124" s="82"/>
      <c r="J124" s="81"/>
      <c r="K124" s="82"/>
      <c r="L124" s="81"/>
      <c r="M124" s="82"/>
      <c r="N124" s="51">
        <f t="shared" si="9"/>
        <v>0</v>
      </c>
      <c r="O124" s="50">
        <f t="shared" si="10"/>
        <v>0</v>
      </c>
      <c r="P124" s="81"/>
      <c r="Q124" s="82"/>
      <c r="R124" s="81"/>
      <c r="S124" s="82"/>
      <c r="T124" s="81"/>
      <c r="U124" s="82"/>
      <c r="V124" s="81"/>
      <c r="W124" s="82"/>
      <c r="X124" s="81"/>
      <c r="Y124" s="82"/>
      <c r="Z124" s="81"/>
      <c r="AA124" s="82"/>
      <c r="AB124" s="51">
        <f>+N124+P124+R124+T124+V124+X124+Z124</f>
        <v>0</v>
      </c>
      <c r="AC124" s="50">
        <f>O124+Q124+S124+U124+W124+Y124+AA124</f>
        <v>0</v>
      </c>
    </row>
    <row r="125" spans="1:29" ht="12.75">
      <c r="A125" s="34" t="s">
        <v>22</v>
      </c>
      <c r="B125" s="81">
        <f>'[44]Flujo vencimientos'!B$13</f>
        <v>159997.2</v>
      </c>
      <c r="C125" s="82">
        <f>'[44]Flujo vencimientos'!C$13</f>
        <v>13396.56</v>
      </c>
      <c r="D125" s="81">
        <f>'[44]Flujo vencimientos'!D$13</f>
        <v>162155.83</v>
      </c>
      <c r="E125" s="82">
        <f>'[44]Flujo vencimientos'!E$13</f>
        <v>11237.94</v>
      </c>
      <c r="F125" s="81">
        <f>'[44]Flujo vencimientos'!F$13</f>
        <v>164343.59</v>
      </c>
      <c r="G125" s="82">
        <f>'[44]Flujo vencimientos'!G$13</f>
        <v>9050.18</v>
      </c>
      <c r="H125" s="81">
        <f>'[44]Flujo vencimientos'!H$13</f>
        <v>166560.86</v>
      </c>
      <c r="I125" s="82">
        <f>'[44]Flujo vencimientos'!I$13</f>
        <v>6832.91</v>
      </c>
      <c r="J125" s="81">
        <f>'[44]Flujo vencimientos'!J$13</f>
        <v>168808.04</v>
      </c>
      <c r="K125" s="82">
        <f>'[44]Flujo vencimientos'!K$13</f>
        <v>4585.73</v>
      </c>
      <c r="L125" s="81">
        <f>'[44]Flujo vencimientos'!L$13</f>
        <v>171085.54</v>
      </c>
      <c r="M125" s="82">
        <f>'[44]Flujo vencimientos'!M$13</f>
        <v>2308.23</v>
      </c>
      <c r="N125" s="51">
        <f aca="true" t="shared" si="20" ref="N125:O128">B125+D125+F125+H125+J125+L125</f>
        <v>992951.06</v>
      </c>
      <c r="O125" s="50">
        <f t="shared" si="20"/>
        <v>47411.549999999996</v>
      </c>
      <c r="P125" s="88"/>
      <c r="Q125" s="89"/>
      <c r="R125" s="88"/>
      <c r="S125" s="89"/>
      <c r="T125" s="88"/>
      <c r="U125" s="89"/>
      <c r="V125" s="88"/>
      <c r="W125" s="89"/>
      <c r="X125" s="88"/>
      <c r="Y125" s="89"/>
      <c r="Z125" s="88"/>
      <c r="AA125" s="89"/>
      <c r="AB125" s="51">
        <f>+N125+P125+R125+T125+V125+X125+Z125</f>
        <v>992951.06</v>
      </c>
      <c r="AC125" s="50">
        <f>O125+Q125+S125+U125+W125+Y125+AA125</f>
        <v>47411.549999999996</v>
      </c>
    </row>
    <row r="126" spans="1:29" ht="12.75">
      <c r="A126" s="34" t="s">
        <v>126</v>
      </c>
      <c r="B126" s="545">
        <f>'[56]Flujos Vencimientos'!$B$13</f>
        <v>103176.26</v>
      </c>
      <c r="C126" s="546">
        <f>'[56]Flujos Vencimientos'!$C$13</f>
        <v>114034.78</v>
      </c>
      <c r="D126" s="545">
        <f>'[56]Flujos Vencimientos'!$D$13</f>
        <v>104723.91</v>
      </c>
      <c r="E126" s="546">
        <f>'[56]Flujos Vencimientos'!$E$13</f>
        <v>112487.14</v>
      </c>
      <c r="F126" s="545">
        <f>'[56]Flujos Vencimientos'!$F$13</f>
        <v>106294.77</v>
      </c>
      <c r="G126" s="546">
        <f>'[56]Flujos Vencimientos'!$G$13</f>
        <v>110916.28</v>
      </c>
      <c r="H126" s="545">
        <f>'[56]Flujos Vencimientos'!$H$13</f>
        <v>107889.19</v>
      </c>
      <c r="I126" s="546">
        <f>'[56]Flujos Vencimientos'!$I$13</f>
        <v>109321.86</v>
      </c>
      <c r="J126" s="545">
        <f>'[56]Flujos Vencimientos'!$J$13</f>
        <v>109507.53</v>
      </c>
      <c r="K126" s="546">
        <f>'[56]Flujos Vencimientos'!$K$13</f>
        <v>107703.52</v>
      </c>
      <c r="L126" s="545">
        <f>'[56]Flujos Vencimientos'!$L$13</f>
        <v>111150.14</v>
      </c>
      <c r="M126" s="546">
        <f>'[56]Flujos Vencimientos'!$M$13</f>
        <v>106060.91</v>
      </c>
      <c r="N126" s="547">
        <f t="shared" si="20"/>
        <v>642741.8</v>
      </c>
      <c r="O126" s="84">
        <f t="shared" si="20"/>
        <v>660524.49</v>
      </c>
      <c r="P126" s="545">
        <f>'[56]Flujos Vencimientos'!$N$13</f>
        <v>112817.39</v>
      </c>
      <c r="Q126" s="546">
        <f>'[56]Flujos Vencimientos'!$O$13</f>
        <v>104393.66</v>
      </c>
      <c r="R126" s="545">
        <f>'[56]Flujos Vencimientos'!$P$13</f>
        <v>114509.65</v>
      </c>
      <c r="S126" s="546">
        <f>'[56]Flujos Vencimientos'!$Q$13</f>
        <v>102701.4</v>
      </c>
      <c r="T126" s="545">
        <f>'[56]Flujos Vencimientos'!$R$13</f>
        <v>116227.3</v>
      </c>
      <c r="U126" s="546">
        <f>'[56]Flujos Vencimientos'!$S$13</f>
        <v>100983.75</v>
      </c>
      <c r="V126" s="545">
        <f>'[56]Flujos Vencimientos'!$T$13</f>
        <v>117970.71</v>
      </c>
      <c r="W126" s="546">
        <f>'[56]Flujos Vencimientos'!$U$13</f>
        <v>99240.34</v>
      </c>
      <c r="X126" s="545">
        <f>'[56]Flujos Vencimientos'!$V$13</f>
        <v>119740.27</v>
      </c>
      <c r="Y126" s="546">
        <f>'[56]Flujos Vencimientos'!$W$13</f>
        <v>97470.78</v>
      </c>
      <c r="Z126" s="545">
        <f>'[56]Flujos Vencimientos'!$X$13</f>
        <v>121536.37</v>
      </c>
      <c r="AA126" s="546">
        <f>'[56]Flujos Vencimientos'!$Y$13</f>
        <v>95674.68</v>
      </c>
      <c r="AB126" s="547">
        <f>+N126+P126+R126+T126+V126+X126+Z126</f>
        <v>1345543.4900000002</v>
      </c>
      <c r="AC126" s="84">
        <f>O126+Q126+S126+U126+W126+Y126+AA126</f>
        <v>1260989.1</v>
      </c>
    </row>
    <row r="127" spans="1:29" ht="12.75">
      <c r="A127" s="34" t="s">
        <v>84</v>
      </c>
      <c r="B127" s="81">
        <f>'[21]Flujos Vencimientos'!B$13</f>
        <v>283754.33</v>
      </c>
      <c r="C127" s="82">
        <f>'[21]Flujos Vencimientos'!C$13</f>
        <v>37367.19</v>
      </c>
      <c r="D127" s="81">
        <f>'[21]Flujos Vencimientos'!D$13</f>
        <v>287286.48</v>
      </c>
      <c r="E127" s="82">
        <f>'[21]Flujos Vencimientos'!E$13</f>
        <v>33835.04</v>
      </c>
      <c r="F127" s="81">
        <f>'[21]Flujos Vencimientos'!F$13</f>
        <v>290862.6</v>
      </c>
      <c r="G127" s="82">
        <f>'[21]Flujos Vencimientos'!G$13</f>
        <v>30258.92</v>
      </c>
      <c r="H127" s="81">
        <f>'[21]Flujos Vencimientos'!H$13</f>
        <v>294483.23</v>
      </c>
      <c r="I127" s="82">
        <f>'[21]Flujos Vencimientos'!I$13</f>
        <v>26638.29</v>
      </c>
      <c r="J127" s="81">
        <f>'[21]Flujos Vencimientos'!J$13</f>
        <v>298148.93</v>
      </c>
      <c r="K127" s="82">
        <f>'[21]Flujos Vencimientos'!K$13</f>
        <v>22972.58</v>
      </c>
      <c r="L127" s="81">
        <f>'[21]Flujos Vencimientos'!L$13</f>
        <v>301860.26</v>
      </c>
      <c r="M127" s="82">
        <f>'[21]Flujos Vencimientos'!M$13</f>
        <v>19261.25</v>
      </c>
      <c r="N127" s="51">
        <f t="shared" si="20"/>
        <v>1756395.83</v>
      </c>
      <c r="O127" s="50">
        <f t="shared" si="20"/>
        <v>170333.27000000002</v>
      </c>
      <c r="P127" s="81">
        <f>'[21]Flujos Vencimientos'!N$13</f>
        <v>305617.8</v>
      </c>
      <c r="Q127" s="82">
        <f>'[21]Flujos Vencimientos'!O$13</f>
        <v>15503.72</v>
      </c>
      <c r="R127" s="81">
        <f>'[21]Flujos Vencimientos'!P$13</f>
        <v>309422.1</v>
      </c>
      <c r="S127" s="82">
        <f>'[21]Flujos Vencimientos'!Q$13</f>
        <v>11699.41</v>
      </c>
      <c r="T127" s="81">
        <f>'[21]Flujos Vencimientos'!R$13</f>
        <v>313273.76</v>
      </c>
      <c r="U127" s="82">
        <f>'[21]Flujos Vencimientos'!S$13</f>
        <v>7847.75</v>
      </c>
      <c r="V127" s="81">
        <f>'[21]Flujos Vencimientos'!T$13</f>
        <v>317173.37</v>
      </c>
      <c r="W127" s="82">
        <f>'[21]Flujos Vencimientos'!U$13</f>
        <v>3948.15</v>
      </c>
      <c r="X127" s="88"/>
      <c r="Y127" s="89"/>
      <c r="Z127" s="88"/>
      <c r="AA127" s="89"/>
      <c r="AB127" s="51">
        <f>+N127+P127+R127+T127+V127+X127+Z127</f>
        <v>3001882.8600000003</v>
      </c>
      <c r="AC127" s="50">
        <f>O127+Q127+S127+U127+W127+Y127+AA127</f>
        <v>209332.30000000002</v>
      </c>
    </row>
    <row r="128" spans="1:29" ht="12.75">
      <c r="A128" s="34" t="s">
        <v>23</v>
      </c>
      <c r="B128" s="81">
        <f>'[13]Flujos Vencimientos'!B$13</f>
        <v>68076.78</v>
      </c>
      <c r="C128" s="82">
        <f>'[13]Flujos Vencimientos'!C$13</f>
        <v>9264.45</v>
      </c>
      <c r="D128" s="81">
        <f>'[13]Flujos Vencimientos'!D$13</f>
        <v>68748.22</v>
      </c>
      <c r="E128" s="82">
        <f>'[13]Flujos Vencimientos'!E$13</f>
        <v>8593.01</v>
      </c>
      <c r="F128" s="81">
        <f>'[13]Flujos Vencimientos'!F$13</f>
        <v>69426.28</v>
      </c>
      <c r="G128" s="82">
        <f>'[13]Flujos Vencimientos'!G$13</f>
        <v>7914.94</v>
      </c>
      <c r="H128" s="81">
        <f>'[13]Flujos Vencimientos'!H$13</f>
        <v>70111.03</v>
      </c>
      <c r="I128" s="82">
        <f>'[13]Flujos Vencimientos'!I$13</f>
        <v>7230.19</v>
      </c>
      <c r="J128" s="81">
        <f>'[13]Flujos Vencimientos'!J$13</f>
        <v>70802.54</v>
      </c>
      <c r="K128" s="82">
        <f>'[13]Flujos Vencimientos'!K$13</f>
        <v>6538.68</v>
      </c>
      <c r="L128" s="81">
        <f>'[13]Flujos Vencimientos'!L$13</f>
        <v>71500.87</v>
      </c>
      <c r="M128" s="82">
        <f>'[13]Flujos Vencimientos'!M$13</f>
        <v>5840.36</v>
      </c>
      <c r="N128" s="51">
        <f t="shared" si="20"/>
        <v>418665.72</v>
      </c>
      <c r="O128" s="50">
        <f t="shared" si="20"/>
        <v>45381.63</v>
      </c>
      <c r="P128" s="81">
        <f>'[13]Flujos Vencimientos'!N$13</f>
        <v>72206.08</v>
      </c>
      <c r="Q128" s="82">
        <f>'[13]Flujos Vencimientos'!O$13</f>
        <v>5135.14</v>
      </c>
      <c r="R128" s="81">
        <f>'[13]Flujos Vencimientos'!P$13</f>
        <v>72918.25</v>
      </c>
      <c r="S128" s="82">
        <f>'[13]Flujos Vencimientos'!Q$13</f>
        <v>4422.97</v>
      </c>
      <c r="T128" s="81">
        <f>'[13]Flujos Vencimientos'!R$13</f>
        <v>73637.44</v>
      </c>
      <c r="U128" s="82">
        <f>'[13]Flujos Vencimientos'!S$13</f>
        <v>3703.78</v>
      </c>
      <c r="V128" s="81">
        <f>'[13]Flujos Vencimientos'!T$13</f>
        <v>74363.73</v>
      </c>
      <c r="W128" s="82">
        <f>'[13]Flujos Vencimientos'!U$13</f>
        <v>2977.49</v>
      </c>
      <c r="X128" s="81">
        <f>'[13]Flujos Vencimientos'!V$13</f>
        <v>75097.18</v>
      </c>
      <c r="Y128" s="82">
        <f>'[13]Flujos Vencimientos'!W$13</f>
        <v>2244.04</v>
      </c>
      <c r="Z128" s="81">
        <f>'[13]Flujos Vencimientos'!X$13</f>
        <v>75837.87</v>
      </c>
      <c r="AA128" s="82">
        <f>'[13]Flujos Vencimientos'!Y$13</f>
        <v>1503.36</v>
      </c>
      <c r="AB128" s="51">
        <f>+N128+P128+R128+T128+V128+X128+Z128</f>
        <v>862726.2699999999</v>
      </c>
      <c r="AC128" s="50">
        <f>O128+Q128+S128+U128+W128+Y128+AA128</f>
        <v>65368.409999999996</v>
      </c>
    </row>
    <row r="129" spans="1:29" ht="12.75">
      <c r="A129" s="34" t="s">
        <v>105</v>
      </c>
      <c r="B129" s="81">
        <f>'[45]Flujos Vencimientos'!$B$13</f>
        <v>163108.02</v>
      </c>
      <c r="C129" s="82">
        <f>'[45]Flujos Vencimientos'!$C$13</f>
        <v>132891.56</v>
      </c>
      <c r="D129" s="81">
        <f>'[45]Flujos Vencimientos'!$D$13</f>
        <v>165189.35</v>
      </c>
      <c r="E129" s="82">
        <f>'[45]Flujos Vencimientos'!$E$13</f>
        <v>130810.24</v>
      </c>
      <c r="F129" s="81">
        <f>'[45]Flujos Vencimientos'!$F$13</f>
        <v>167297.23</v>
      </c>
      <c r="G129" s="82">
        <f>'[45]Flujos Vencimientos'!$G$13</f>
        <v>128702.35</v>
      </c>
      <c r="H129" s="81">
        <f>'[45]Flujos Vencimientos'!$H$13</f>
        <v>169432.02</v>
      </c>
      <c r="I129" s="82">
        <f>'[45]Flujos Vencimientos'!$I$13</f>
        <v>126567.57</v>
      </c>
      <c r="J129" s="81">
        <f>'[45]Flujos Vencimientos'!$J$13</f>
        <v>171594.04</v>
      </c>
      <c r="K129" s="82">
        <f>'[45]Flujos Vencimientos'!$K$13</f>
        <v>124405.55</v>
      </c>
      <c r="L129" s="81">
        <f>'[45]Flujos Vencimientos'!$L$13</f>
        <v>173783.65</v>
      </c>
      <c r="M129" s="82">
        <f>'[45]Flujos Vencimientos'!$M$13</f>
        <v>122215.94</v>
      </c>
      <c r="N129" s="51">
        <f t="shared" si="9"/>
        <v>1010404.31</v>
      </c>
      <c r="O129" s="50">
        <f t="shared" si="10"/>
        <v>765593.21</v>
      </c>
      <c r="P129" s="81">
        <f>'[45]Flujos Vencimientos'!$N$13</f>
        <v>176001.2</v>
      </c>
      <c r="Q129" s="82">
        <f>'[45]Flujos Vencimientos'!$O$13</f>
        <v>119998.38</v>
      </c>
      <c r="R129" s="81">
        <f>'[45]Flujos Vencimientos'!$P$13</f>
        <v>178247.05</v>
      </c>
      <c r="S129" s="82">
        <f>'[45]Flujos Vencimientos'!$Q$13</f>
        <v>117752.54</v>
      </c>
      <c r="T129" s="81">
        <f>'[45]Flujos Vencimientos'!$R$13</f>
        <v>180521.56</v>
      </c>
      <c r="U129" s="82">
        <f>'[45]Flujos Vencimientos'!$S$13</f>
        <v>115478.03</v>
      </c>
      <c r="V129" s="81">
        <f>'[45]Flujos Vencimientos'!$T$13</f>
        <v>182825.09</v>
      </c>
      <c r="W129" s="82">
        <f>'[45]Flujos Vencimientos'!$U$13</f>
        <v>113174.5</v>
      </c>
      <c r="X129" s="81">
        <f>'[45]Flujos Vencimientos'!$V$13</f>
        <v>185158.01</v>
      </c>
      <c r="Y129" s="82">
        <f>'[45]Flujos Vencimientos'!$W$13</f>
        <v>110841.57</v>
      </c>
      <c r="Z129" s="81">
        <f>'[45]Flujos Vencimientos'!$X$13</f>
        <v>187520.7</v>
      </c>
      <c r="AA129" s="82">
        <f>'[45]Flujos Vencimientos'!$Y$13</f>
        <v>108478.88</v>
      </c>
      <c r="AB129" s="51">
        <f t="shared" si="14"/>
        <v>2100677.9200000004</v>
      </c>
      <c r="AC129" s="50">
        <f t="shared" si="15"/>
        <v>1451317.1099999999</v>
      </c>
    </row>
    <row r="130" spans="1:29" ht="12.75">
      <c r="A130" s="34" t="s">
        <v>4</v>
      </c>
      <c r="B130" s="81">
        <f>'[10]Flujo vencimientos'!B$13</f>
        <v>121388.67</v>
      </c>
      <c r="C130" s="82">
        <f>'[10]Flujo vencimientos'!C$13</f>
        <v>36817.98</v>
      </c>
      <c r="D130" s="81">
        <f>'[10]Flujo vencimientos'!D$13</f>
        <v>123007.19</v>
      </c>
      <c r="E130" s="82">
        <f>'[10]Flujo vencimientos'!E$13</f>
        <v>35199.46</v>
      </c>
      <c r="F130" s="81">
        <f>'[10]Flujo vencimientos'!F$13</f>
        <v>124647.28</v>
      </c>
      <c r="G130" s="82">
        <f>'[10]Flujo vencimientos'!G$13</f>
        <v>33559.37</v>
      </c>
      <c r="H130" s="81">
        <f>'[10]Flujo vencimientos'!H$13</f>
        <v>126309.24</v>
      </c>
      <c r="I130" s="82">
        <f>'[10]Flujo vencimientos'!I$13</f>
        <v>31897.4</v>
      </c>
      <c r="J130" s="81">
        <f>'[10]Flujo vencimientos'!J$13</f>
        <v>127993.37</v>
      </c>
      <c r="K130" s="82">
        <f>'[10]Flujo vencimientos'!K$13</f>
        <v>30213.28</v>
      </c>
      <c r="L130" s="81">
        <f>'[10]Flujo vencimientos'!L$13</f>
        <v>129699.95</v>
      </c>
      <c r="M130" s="82">
        <f>'[10]Flujo vencimientos'!M$13</f>
        <v>28506.7</v>
      </c>
      <c r="N130" s="51">
        <f t="shared" si="9"/>
        <v>753045.7</v>
      </c>
      <c r="O130" s="50">
        <f t="shared" si="10"/>
        <v>196194.19</v>
      </c>
      <c r="P130" s="382">
        <f>'[10]Flujo vencimientos'!N$13</f>
        <v>131429.28</v>
      </c>
      <c r="Q130" s="383">
        <f>'[10]Flujo vencimientos'!O$13</f>
        <v>26777.37</v>
      </c>
      <c r="R130" s="382">
        <f>'[10]Flujo vencimientos'!P$13</f>
        <v>133181.67</v>
      </c>
      <c r="S130" s="383">
        <f>'[10]Flujo vencimientos'!Q$13</f>
        <v>25024.98</v>
      </c>
      <c r="T130" s="382">
        <f>'[10]Flujo vencimientos'!R$13</f>
        <v>134957.42</v>
      </c>
      <c r="U130" s="383">
        <f>'[10]Flujo vencimientos'!S$13</f>
        <v>23249.22</v>
      </c>
      <c r="V130" s="382">
        <f>'[10]Flujo vencimientos'!T$13</f>
        <v>136756.86</v>
      </c>
      <c r="W130" s="383">
        <f>'[10]Flujo vencimientos'!U$13</f>
        <v>21449.79</v>
      </c>
      <c r="X130" s="382">
        <f>'[10]Flujo vencimientos'!V$13</f>
        <v>138580.28</v>
      </c>
      <c r="Y130" s="383">
        <f>'[10]Flujo vencimientos'!W$13</f>
        <v>19626.37</v>
      </c>
      <c r="Z130" s="382">
        <f>'[10]Flujo vencimientos'!X$13</f>
        <v>140428.02</v>
      </c>
      <c r="AA130" s="383">
        <f>'[10]Flujo vencimientos'!Y$13</f>
        <v>17778.63</v>
      </c>
      <c r="AB130" s="51">
        <f t="shared" si="14"/>
        <v>1568379.2300000002</v>
      </c>
      <c r="AC130" s="50">
        <f t="shared" si="15"/>
        <v>330100.55</v>
      </c>
    </row>
    <row r="131" spans="1:29" ht="12.75">
      <c r="A131" s="34" t="s">
        <v>10</v>
      </c>
      <c r="B131" s="81">
        <f>'[46]Flujos Vencimientos'!$B$13</f>
        <v>86061.35</v>
      </c>
      <c r="C131" s="82">
        <f>'[46]Flujos Vencimientos'!$C$13</f>
        <v>50996.5</v>
      </c>
      <c r="D131" s="81">
        <f>'[46]Flujos Vencimientos'!$D$13</f>
        <v>87150.56</v>
      </c>
      <c r="E131" s="82">
        <f>'[46]Flujos Vencimientos'!$E$13</f>
        <v>49907.28</v>
      </c>
      <c r="F131" s="81">
        <f>'[46]Flujos Vencimientos'!$F$13</f>
        <v>88253.56</v>
      </c>
      <c r="G131" s="82">
        <f>'[46]Flujos Vencimientos'!$G$13</f>
        <v>48804.29</v>
      </c>
      <c r="H131" s="81">
        <f>'[46]Flujos Vencimientos'!$H$13</f>
        <v>89370.52</v>
      </c>
      <c r="I131" s="82">
        <f>'[46]Flujos Vencimientos'!$I$13</f>
        <v>47687.33</v>
      </c>
      <c r="J131" s="81">
        <f>'[46]Flujos Vencimientos'!$J$13</f>
        <v>90501.62</v>
      </c>
      <c r="K131" s="82">
        <f>'[46]Flujos Vencimientos'!$K$13</f>
        <v>46556.23</v>
      </c>
      <c r="L131" s="81">
        <f>'[46]Flujos Vencimientos'!$L$13</f>
        <v>91647.03</v>
      </c>
      <c r="M131" s="82">
        <f>'[46]Flujos Vencimientos'!$M$13</f>
        <v>45410.82</v>
      </c>
      <c r="N131" s="51">
        <f t="shared" si="9"/>
        <v>532984.64</v>
      </c>
      <c r="O131" s="50">
        <f t="shared" si="10"/>
        <v>289362.45</v>
      </c>
      <c r="P131" s="81">
        <f>'[46]Flujos Vencimientos'!$N$13</f>
        <v>92806.94</v>
      </c>
      <c r="Q131" s="82">
        <f>'[46]Flujos Vencimientos'!$O$13</f>
        <v>44250.91</v>
      </c>
      <c r="R131" s="81">
        <f>'[46]Flujos Vencimientos'!$P$13</f>
        <v>93981.52</v>
      </c>
      <c r="S131" s="82">
        <f>'[46]Flujos Vencimientos'!$Q$13</f>
        <v>43076.32</v>
      </c>
      <c r="T131" s="81">
        <f>'[46]Flujos Vencimientos'!$R$13</f>
        <v>95170.98</v>
      </c>
      <c r="U131" s="82">
        <f>'[46]Flujos Vencimientos'!$S$13</f>
        <v>41886.87</v>
      </c>
      <c r="V131" s="81">
        <f>'[46]Flujos Vencimientos'!$T$13</f>
        <v>96375.49</v>
      </c>
      <c r="W131" s="82">
        <f>'[46]Flujos Vencimientos'!$U$13</f>
        <v>40682.36</v>
      </c>
      <c r="X131" s="81">
        <f>'[46]Flujos Vencimientos'!$V$13</f>
        <v>97595.24</v>
      </c>
      <c r="Y131" s="82">
        <f>'[46]Flujos Vencimientos'!$W$13</f>
        <v>39462.61</v>
      </c>
      <c r="Z131" s="81">
        <f>'[46]Flujos Vencimientos'!$X$13</f>
        <v>98830.43</v>
      </c>
      <c r="AA131" s="82">
        <f>'[46]Flujos Vencimientos'!$Y$13</f>
        <v>38227.42</v>
      </c>
      <c r="AB131" s="51">
        <f t="shared" si="14"/>
        <v>1107745.24</v>
      </c>
      <c r="AC131" s="50">
        <f t="shared" si="15"/>
        <v>536948.94</v>
      </c>
    </row>
    <row r="132" spans="1:29" ht="12.75">
      <c r="A132" s="134" t="s">
        <v>130</v>
      </c>
      <c r="B132" s="548">
        <f>SUM(B133:B137)</f>
        <v>117212.16999999998</v>
      </c>
      <c r="C132" s="549">
        <f>SUM(C133:C137)</f>
        <v>64918.12</v>
      </c>
      <c r="D132" s="548">
        <f aca="true" t="shared" si="21" ref="D132:AC132">SUM(D133:D137)</f>
        <v>117212.15</v>
      </c>
      <c r="E132" s="549">
        <f t="shared" si="21"/>
        <v>58217.28</v>
      </c>
      <c r="F132" s="548">
        <f t="shared" si="21"/>
        <v>117212.16999999998</v>
      </c>
      <c r="G132" s="549">
        <f t="shared" si="21"/>
        <v>63723.52</v>
      </c>
      <c r="H132" s="548">
        <f t="shared" si="21"/>
        <v>117212.15</v>
      </c>
      <c r="I132" s="549">
        <f t="shared" si="21"/>
        <v>61089.89</v>
      </c>
      <c r="J132" s="548">
        <f t="shared" si="21"/>
        <v>117212.16999999998</v>
      </c>
      <c r="K132" s="549">
        <f t="shared" si="21"/>
        <v>62528.92</v>
      </c>
      <c r="L132" s="548">
        <f t="shared" si="21"/>
        <v>117212.15</v>
      </c>
      <c r="M132" s="549">
        <f t="shared" si="21"/>
        <v>59933.82</v>
      </c>
      <c r="N132" s="548">
        <f t="shared" si="21"/>
        <v>703272.96</v>
      </c>
      <c r="O132" s="549">
        <f t="shared" si="21"/>
        <v>370411.55000000005</v>
      </c>
      <c r="P132" s="548">
        <f t="shared" si="21"/>
        <v>117212.16</v>
      </c>
      <c r="Q132" s="549">
        <f t="shared" si="21"/>
        <v>61334.31</v>
      </c>
      <c r="R132" s="548">
        <f t="shared" si="21"/>
        <v>117212.16</v>
      </c>
      <c r="S132" s="549">
        <f t="shared" si="21"/>
        <v>60737.020000000004</v>
      </c>
      <c r="T132" s="548">
        <f t="shared" si="21"/>
        <v>117212.16</v>
      </c>
      <c r="U132" s="549">
        <f t="shared" si="21"/>
        <v>58199.73</v>
      </c>
      <c r="V132" s="548">
        <f t="shared" si="21"/>
        <v>117212.16</v>
      </c>
      <c r="W132" s="549">
        <f t="shared" si="21"/>
        <v>59542.420000000006</v>
      </c>
      <c r="X132" s="548">
        <f t="shared" si="21"/>
        <v>117212.16</v>
      </c>
      <c r="Y132" s="549">
        <f t="shared" si="21"/>
        <v>57043.659999999996</v>
      </c>
      <c r="Z132" s="548">
        <f t="shared" si="21"/>
        <v>117553.32999999999</v>
      </c>
      <c r="AA132" s="549">
        <f t="shared" si="21"/>
        <v>58293.53</v>
      </c>
      <c r="AB132" s="548">
        <f t="shared" si="21"/>
        <v>1406887.0899999999</v>
      </c>
      <c r="AC132" s="549">
        <f t="shared" si="21"/>
        <v>725562.2200000001</v>
      </c>
    </row>
    <row r="133" spans="1:29" ht="12.75">
      <c r="A133" s="34" t="s">
        <v>126</v>
      </c>
      <c r="B133" s="81">
        <f>'[38]Flujo para el libro'!B$13</f>
        <v>56295.49</v>
      </c>
      <c r="C133" s="82">
        <f>'[38]Flujo para el libro'!C$13</f>
        <v>3442.51</v>
      </c>
      <c r="D133" s="81">
        <f>'[38]Flujo para el libro'!D$13</f>
        <v>56295.48</v>
      </c>
      <c r="E133" s="82">
        <f>'[38]Flujo para el libro'!E$13</f>
        <v>2952.04</v>
      </c>
      <c r="F133" s="81">
        <f>'[38]Flujo para el libro'!F$13</f>
        <v>56295.49</v>
      </c>
      <c r="G133" s="82">
        <f>'[38]Flujo para el libro'!G$13</f>
        <v>2868.76</v>
      </c>
      <c r="H133" s="81">
        <f>'[38]Flujo para el libro'!H$13</f>
        <v>56295.48</v>
      </c>
      <c r="I133" s="82">
        <f>'[38]Flujo para el libro'!I$13</f>
        <v>2498.59</v>
      </c>
      <c r="J133" s="81">
        <f>'[38]Flujo para el libro'!J$13</f>
        <v>56295.49</v>
      </c>
      <c r="K133" s="82">
        <f>'[38]Flujo para el libro'!K$13</f>
        <v>2295</v>
      </c>
      <c r="L133" s="81">
        <f>'[38]Flujo para el libro'!L$13</f>
        <v>56295.48</v>
      </c>
      <c r="M133" s="82">
        <f>'[38]Flujo para el libro'!M$13</f>
        <v>1943.35</v>
      </c>
      <c r="N133" s="51">
        <f t="shared" si="9"/>
        <v>337772.91</v>
      </c>
      <c r="O133" s="50">
        <f t="shared" si="10"/>
        <v>16000.250000000002</v>
      </c>
      <c r="P133" s="81">
        <f>'[38]Flujo para el libro'!N$13</f>
        <v>56295.48</v>
      </c>
      <c r="Q133" s="82">
        <f>'[38]Flujo para el libro'!O$13</f>
        <v>1721.25</v>
      </c>
      <c r="R133" s="81">
        <f>'[38]Flujo para el libro'!P$13</f>
        <v>56295.49</v>
      </c>
      <c r="S133" s="82">
        <f>'[38]Flujo para el libro'!Q$13</f>
        <v>1434.38</v>
      </c>
      <c r="T133" s="81">
        <f>'[38]Flujo para el libro'!R$13</f>
        <v>56295.48</v>
      </c>
      <c r="U133" s="82">
        <f>'[38]Flujo para el libro'!S$13</f>
        <v>1110.49</v>
      </c>
      <c r="V133" s="81">
        <f>'[38]Flujo para el libro'!T$13</f>
        <v>56295.49</v>
      </c>
      <c r="W133" s="82">
        <f>'[38]Flujo para el libro'!U$13</f>
        <v>860.63</v>
      </c>
      <c r="X133" s="81">
        <f>'[38]Flujo para el libro'!V$13</f>
        <v>56295.48</v>
      </c>
      <c r="Y133" s="82">
        <f>'[38]Flujo para el libro'!W$13</f>
        <v>555.24</v>
      </c>
      <c r="Z133" s="81">
        <f>'[38]Flujo para el libro'!X$13</f>
        <v>56582.369999999995</v>
      </c>
      <c r="AA133" s="82">
        <f>'[38]Flujo para el libro'!Y$13</f>
        <v>286.88</v>
      </c>
      <c r="AB133" s="51">
        <f t="shared" si="14"/>
        <v>675832.7</v>
      </c>
      <c r="AC133" s="50">
        <f t="shared" si="15"/>
        <v>21969.120000000006</v>
      </c>
    </row>
    <row r="134" spans="1:29" ht="12.75">
      <c r="A134" s="34" t="s">
        <v>10</v>
      </c>
      <c r="B134" s="81">
        <f>'[6]Flujo para el libro'!B$13</f>
        <v>10654.08</v>
      </c>
      <c r="C134" s="82">
        <f>'[6]Flujo para el libro'!C$13</f>
        <v>651.5</v>
      </c>
      <c r="D134" s="81">
        <f>'[6]Flujo para el libro'!D$13</f>
        <v>10654.07</v>
      </c>
      <c r="E134" s="82">
        <f>'[6]Flujo para el libro'!E$13</f>
        <v>558.68</v>
      </c>
      <c r="F134" s="81">
        <f>'[6]Flujo para el libro'!F$13</f>
        <v>10654.08</v>
      </c>
      <c r="G134" s="82">
        <f>'[6]Flujo para el libro'!G$13</f>
        <v>542.92</v>
      </c>
      <c r="H134" s="81">
        <f>'[6]Flujo para el libro'!H$13</f>
        <v>10654.07</v>
      </c>
      <c r="I134" s="82">
        <f>'[6]Flujo para el libro'!I$13</f>
        <v>472.87</v>
      </c>
      <c r="J134" s="81">
        <f>'[6]Flujo para el libro'!J$13</f>
        <v>10654.08</v>
      </c>
      <c r="K134" s="82">
        <f>'[6]Flujo para el libro'!K$13</f>
        <v>434.34</v>
      </c>
      <c r="L134" s="81">
        <f>'[6]Flujo para el libro'!L$13</f>
        <v>10654.07</v>
      </c>
      <c r="M134" s="82">
        <f>'[6]Flujo para el libro'!M$13</f>
        <v>367.78</v>
      </c>
      <c r="N134" s="51">
        <f t="shared" si="9"/>
        <v>63924.450000000004</v>
      </c>
      <c r="O134" s="50">
        <f t="shared" si="10"/>
        <v>3028.09</v>
      </c>
      <c r="P134" s="81">
        <f>'[6]Flujo para el libro'!N$13</f>
        <v>10654.08</v>
      </c>
      <c r="Q134" s="82">
        <f>'[6]Flujo para el libro'!O$13</f>
        <v>325.75</v>
      </c>
      <c r="R134" s="81">
        <f>'[6]Flujo para el libro'!P$13</f>
        <v>10654.07</v>
      </c>
      <c r="S134" s="82">
        <f>'[6]Flujo para el libro'!Q$13</f>
        <v>271.46</v>
      </c>
      <c r="T134" s="81">
        <f>'[6]Flujo para el libro'!R$13</f>
        <v>10654.08</v>
      </c>
      <c r="U134" s="82">
        <f>'[6]Flujo para el libro'!S$13</f>
        <v>210.16</v>
      </c>
      <c r="V134" s="81">
        <f>'[6]Flujo para el libro'!T$13</f>
        <v>10654.07</v>
      </c>
      <c r="W134" s="82">
        <f>'[6]Flujo para el libro'!U$13</f>
        <v>162.88</v>
      </c>
      <c r="X134" s="81">
        <f>'[6]Flujo para el libro'!V$13</f>
        <v>10654.08</v>
      </c>
      <c r="Y134" s="82">
        <f>'[6]Flujo para el libro'!W$13</f>
        <v>105.08</v>
      </c>
      <c r="Z134" s="81">
        <f>'[6]Flujo para el libro'!X$13</f>
        <v>10708.359999999999</v>
      </c>
      <c r="AA134" s="82">
        <f>'[6]Flujo para el libro'!Y$13</f>
        <v>0</v>
      </c>
      <c r="AB134" s="51">
        <f t="shared" si="14"/>
        <v>127903.19</v>
      </c>
      <c r="AC134" s="50">
        <f t="shared" si="15"/>
        <v>4103.42</v>
      </c>
    </row>
    <row r="135" spans="1:29" ht="12.75">
      <c r="A135" s="5" t="s">
        <v>22</v>
      </c>
      <c r="B135" s="545">
        <f>'[68]Flujo vencimientos'!B$13</f>
        <v>50262.6</v>
      </c>
      <c r="C135" s="546">
        <f>'[68]Flujo vencimientos'!C$13</f>
        <v>60824.11</v>
      </c>
      <c r="D135" s="545">
        <f>'[68]Flujo vencimientos'!D$13</f>
        <v>50262.6</v>
      </c>
      <c r="E135" s="546">
        <f>'[68]Flujo vencimientos'!E$13</f>
        <v>54706.56</v>
      </c>
      <c r="F135" s="545">
        <f>'[68]Flujo vencimientos'!F$13</f>
        <v>50262.6</v>
      </c>
      <c r="G135" s="546">
        <f>'[68]Flujo vencimientos'!G$13</f>
        <v>60311.84</v>
      </c>
      <c r="H135" s="545">
        <f>'[68]Flujo vencimientos'!H$13</f>
        <v>50262.6</v>
      </c>
      <c r="I135" s="546">
        <f>'[68]Flujo vencimientos'!I$13</f>
        <v>58118.43</v>
      </c>
      <c r="J135" s="545">
        <f>'[68]Flujo vencimientos'!J$13</f>
        <v>50262.6</v>
      </c>
      <c r="K135" s="546">
        <f>'[68]Flujo vencimientos'!K$13</f>
        <v>59799.58</v>
      </c>
      <c r="L135" s="545">
        <f>'[68]Flujo vencimientos'!L$13</f>
        <v>50262.6</v>
      </c>
      <c r="M135" s="546">
        <f>'[68]Flujo vencimientos'!M$13</f>
        <v>57622.69</v>
      </c>
      <c r="N135" s="547">
        <f t="shared" si="9"/>
        <v>301575.6</v>
      </c>
      <c r="O135" s="84">
        <f t="shared" si="10"/>
        <v>351383.21</v>
      </c>
      <c r="P135" s="545">
        <f>'[68]Flujo vencimientos'!N$13</f>
        <v>50262.6</v>
      </c>
      <c r="Q135" s="546">
        <f>'[68]Flujo vencimientos'!O$13</f>
        <v>59287.31</v>
      </c>
      <c r="R135" s="545">
        <f>'[68]Flujo vencimientos'!P$13</f>
        <v>50262.6</v>
      </c>
      <c r="S135" s="546">
        <f>'[68]Flujo vencimientos'!Q$13</f>
        <v>59031.18</v>
      </c>
      <c r="T135" s="545">
        <f>'[68]Flujo vencimientos'!R$13</f>
        <v>50262.6</v>
      </c>
      <c r="U135" s="546">
        <f>'[68]Flujo vencimientos'!S$13</f>
        <v>56879.08</v>
      </c>
      <c r="V135" s="545">
        <f>'[68]Flujo vencimientos'!T$13</f>
        <v>50262.6</v>
      </c>
      <c r="W135" s="546">
        <f>'[68]Flujo vencimientos'!U$13</f>
        <v>58518.91</v>
      </c>
      <c r="X135" s="545">
        <f>'[68]Flujo vencimientos'!V$13</f>
        <v>50262.6</v>
      </c>
      <c r="Y135" s="546">
        <f>'[68]Flujo vencimientos'!W$13</f>
        <v>56383.34</v>
      </c>
      <c r="Z135" s="545">
        <f>'[68]Flujo vencimientos'!X$13</f>
        <v>50262.6</v>
      </c>
      <c r="AA135" s="546">
        <f>'[68]Flujo vencimientos'!Y$13</f>
        <v>58006.65</v>
      </c>
      <c r="AB135" s="547">
        <f t="shared" si="14"/>
        <v>603151.1999999998</v>
      </c>
      <c r="AC135" s="84">
        <f t="shared" si="15"/>
        <v>699489.68</v>
      </c>
    </row>
    <row r="136" spans="1:29" ht="12.75" hidden="1">
      <c r="A136" s="5" t="s">
        <v>8</v>
      </c>
      <c r="B136" s="545"/>
      <c r="C136" s="546"/>
      <c r="D136" s="545"/>
      <c r="E136" s="546"/>
      <c r="F136" s="545"/>
      <c r="G136" s="546"/>
      <c r="H136" s="545"/>
      <c r="I136" s="546"/>
      <c r="J136" s="545"/>
      <c r="K136" s="546"/>
      <c r="L136" s="545"/>
      <c r="M136" s="546"/>
      <c r="N136" s="547">
        <f t="shared" si="9"/>
        <v>0</v>
      </c>
      <c r="O136" s="84">
        <f t="shared" si="10"/>
        <v>0</v>
      </c>
      <c r="P136" s="545"/>
      <c r="Q136" s="546"/>
      <c r="R136" s="545"/>
      <c r="S136" s="546"/>
      <c r="T136" s="545"/>
      <c r="U136" s="546"/>
      <c r="V136" s="545"/>
      <c r="W136" s="546"/>
      <c r="X136" s="545"/>
      <c r="Y136" s="546"/>
      <c r="Z136" s="545"/>
      <c r="AA136" s="546"/>
      <c r="AB136" s="547">
        <f t="shared" si="14"/>
        <v>0</v>
      </c>
      <c r="AC136" s="84">
        <f t="shared" si="15"/>
        <v>0</v>
      </c>
    </row>
    <row r="137" spans="1:29" ht="12.75" hidden="1">
      <c r="A137" s="5" t="s">
        <v>11</v>
      </c>
      <c r="B137" s="545"/>
      <c r="C137" s="546"/>
      <c r="D137" s="545"/>
      <c r="E137" s="546"/>
      <c r="F137" s="545"/>
      <c r="G137" s="546"/>
      <c r="H137" s="545"/>
      <c r="I137" s="546"/>
      <c r="J137" s="545"/>
      <c r="K137" s="546"/>
      <c r="L137" s="545"/>
      <c r="M137" s="546"/>
      <c r="N137" s="547">
        <f t="shared" si="9"/>
        <v>0</v>
      </c>
      <c r="O137" s="84">
        <f t="shared" si="10"/>
        <v>0</v>
      </c>
      <c r="P137" s="545"/>
      <c r="Q137" s="546"/>
      <c r="R137" s="545"/>
      <c r="S137" s="546"/>
      <c r="T137" s="545"/>
      <c r="U137" s="546"/>
      <c r="V137" s="545"/>
      <c r="W137" s="546"/>
      <c r="X137" s="545"/>
      <c r="Y137" s="546"/>
      <c r="Z137" s="545"/>
      <c r="AA137" s="546"/>
      <c r="AB137" s="547">
        <f t="shared" si="14"/>
        <v>0</v>
      </c>
      <c r="AC137" s="84">
        <f t="shared" si="15"/>
        <v>0</v>
      </c>
    </row>
    <row r="138" spans="1:29" s="1" customFormat="1" ht="12">
      <c r="A138" s="134" t="s">
        <v>179</v>
      </c>
      <c r="B138" s="32">
        <f>SUM(B139:B143)</f>
        <v>1411635.05</v>
      </c>
      <c r="C138" s="31">
        <f>SUM(C139:C143)</f>
        <v>811377.9199999999</v>
      </c>
      <c r="D138" s="32">
        <f aca="true" t="shared" si="22" ref="D138:M138">SUM(D139:D143)</f>
        <v>85697.26000000001</v>
      </c>
      <c r="E138" s="31">
        <f t="shared" si="22"/>
        <v>46964.83</v>
      </c>
      <c r="F138" s="32">
        <f t="shared" si="22"/>
        <v>269983.73</v>
      </c>
      <c r="G138" s="31">
        <f t="shared" si="22"/>
        <v>242086.37</v>
      </c>
      <c r="H138" s="32">
        <f t="shared" si="22"/>
        <v>87256.2</v>
      </c>
      <c r="I138" s="31">
        <f t="shared" si="22"/>
        <v>45405.9</v>
      </c>
      <c r="J138" s="32">
        <f t="shared" si="22"/>
        <v>88048.5</v>
      </c>
      <c r="K138" s="31">
        <f t="shared" si="22"/>
        <v>44613.59</v>
      </c>
      <c r="L138" s="32">
        <f t="shared" si="22"/>
        <v>88849.5</v>
      </c>
      <c r="M138" s="31">
        <f t="shared" si="22"/>
        <v>43812.600000000006</v>
      </c>
      <c r="N138" s="32">
        <f t="shared" si="9"/>
        <v>2031470.24</v>
      </c>
      <c r="O138" s="31">
        <f t="shared" si="10"/>
        <v>1234261.21</v>
      </c>
      <c r="P138" s="32">
        <f aca="true" t="shared" si="23" ref="P138:AA138">SUM(P139:P143)</f>
        <v>1485103.78</v>
      </c>
      <c r="Q138" s="31">
        <f t="shared" si="23"/>
        <v>737909.19</v>
      </c>
      <c r="R138" s="32">
        <f t="shared" si="23"/>
        <v>90477.95999999999</v>
      </c>
      <c r="S138" s="31">
        <f t="shared" si="23"/>
        <v>42184.14</v>
      </c>
      <c r="T138" s="32">
        <f t="shared" si="23"/>
        <v>290240.98</v>
      </c>
      <c r="U138" s="31">
        <f t="shared" si="23"/>
        <v>221829.1</v>
      </c>
      <c r="V138" s="32">
        <f t="shared" si="23"/>
        <v>92142.41</v>
      </c>
      <c r="W138" s="31">
        <f t="shared" si="23"/>
        <v>40519.69</v>
      </c>
      <c r="X138" s="32">
        <f t="shared" si="23"/>
        <v>92988.39</v>
      </c>
      <c r="Y138" s="31">
        <f t="shared" si="23"/>
        <v>39673.7</v>
      </c>
      <c r="Z138" s="32">
        <f t="shared" si="23"/>
        <v>93843.69</v>
      </c>
      <c r="AA138" s="31">
        <f t="shared" si="23"/>
        <v>38818.4</v>
      </c>
      <c r="AB138" s="32">
        <f t="shared" si="14"/>
        <v>4176267.45</v>
      </c>
      <c r="AC138" s="31">
        <f t="shared" si="15"/>
        <v>2355195.4299999997</v>
      </c>
    </row>
    <row r="139" spans="1:29" s="1" customFormat="1" ht="12">
      <c r="A139" s="34" t="str">
        <f>+A71</f>
        <v>Capital (Supervielle)</v>
      </c>
      <c r="B139" s="81">
        <f>'[22]Flujos Vencimientos'!$B$13</f>
        <v>1326704.62</v>
      </c>
      <c r="C139" s="82">
        <f>'[22]Flujos Vencimientos'!$C$13</f>
        <v>763646.26</v>
      </c>
      <c r="D139" s="79"/>
      <c r="E139" s="80"/>
      <c r="F139" s="79"/>
      <c r="G139" s="80"/>
      <c r="H139" s="79"/>
      <c r="I139" s="80"/>
      <c r="J139" s="79"/>
      <c r="K139" s="80"/>
      <c r="L139" s="79"/>
      <c r="M139" s="80"/>
      <c r="N139" s="51">
        <f t="shared" si="9"/>
        <v>1326704.62</v>
      </c>
      <c r="O139" s="50">
        <f t="shared" si="10"/>
        <v>763646.26</v>
      </c>
      <c r="P139" s="81">
        <f>'[22]Flujos Vencimientos'!$N$13</f>
        <v>1395444.5</v>
      </c>
      <c r="Q139" s="82">
        <f>'[22]Flujos Vencimientos'!$O$13</f>
        <v>694906.37</v>
      </c>
      <c r="R139" s="79"/>
      <c r="S139" s="80"/>
      <c r="T139" s="79"/>
      <c r="U139" s="80"/>
      <c r="V139" s="79"/>
      <c r="W139" s="80"/>
      <c r="X139" s="79"/>
      <c r="Y139" s="80"/>
      <c r="Z139" s="79"/>
      <c r="AA139" s="80"/>
      <c r="AB139" s="51">
        <f>+N139+P139+R139+T139+V139+X139+Z139</f>
        <v>2722149.12</v>
      </c>
      <c r="AC139" s="50">
        <f>O139+Q139+S139+U139+W139+Y139+AA139</f>
        <v>1458552.63</v>
      </c>
    </row>
    <row r="140" spans="1:29" s="1" customFormat="1" ht="12">
      <c r="A140" s="34" t="str">
        <f>+A72</f>
        <v>Luján (Credicoop)</v>
      </c>
      <c r="B140" s="81">
        <f>'[28]Flujos Vencimientos'!B$13</f>
        <v>37136.39</v>
      </c>
      <c r="C140" s="82">
        <f>'[28]Flujos Vencimientos'!C$13</f>
        <v>19705.82</v>
      </c>
      <c r="D140" s="81">
        <f>'[28]Flujos Vencimientos'!D$13</f>
        <v>37618.53</v>
      </c>
      <c r="E140" s="82">
        <f>'[28]Flujos Vencimientos'!E$13</f>
        <v>19223.68</v>
      </c>
      <c r="F140" s="81">
        <f>'[28]Flujos Vencimientos'!F$13</f>
        <v>38106.94</v>
      </c>
      <c r="G140" s="82">
        <f>'[28]Flujos Vencimientos'!G$13</f>
        <v>18735.28</v>
      </c>
      <c r="H140" s="81">
        <f>'[28]Flujos Vencimientos'!H$13</f>
        <v>38601.68</v>
      </c>
      <c r="I140" s="82">
        <f>'[28]Flujos Vencimientos'!I$13</f>
        <v>18240.54</v>
      </c>
      <c r="J140" s="81">
        <f>'[28]Flujos Vencimientos'!J$13</f>
        <v>39102.84</v>
      </c>
      <c r="K140" s="82">
        <f>'[28]Flujos Vencimientos'!K$13</f>
        <v>17739.37</v>
      </c>
      <c r="L140" s="81">
        <f>'[28]Flujos Vencimientos'!L$13</f>
        <v>39610.52</v>
      </c>
      <c r="M140" s="82">
        <f>'[28]Flujos Vencimientos'!M$13</f>
        <v>17231.7</v>
      </c>
      <c r="N140" s="51">
        <f t="shared" si="9"/>
        <v>230176.9</v>
      </c>
      <c r="O140" s="50">
        <f t="shared" si="10"/>
        <v>110876.39</v>
      </c>
      <c r="P140" s="81">
        <f>'[28]Flujos Vencimientos'!N$13</f>
        <v>40124.78</v>
      </c>
      <c r="Q140" s="82">
        <f>'[28]Flujos Vencimientos'!O$13</f>
        <v>16717.44</v>
      </c>
      <c r="R140" s="81">
        <f>'[28]Flujos Vencimientos'!P$13</f>
        <v>40645.72</v>
      </c>
      <c r="S140" s="82">
        <f>'[28]Flujos Vencimientos'!Q$13</f>
        <v>16196.5</v>
      </c>
      <c r="T140" s="81">
        <f>'[28]Flujos Vencimientos'!R$13</f>
        <v>41173.42</v>
      </c>
      <c r="U140" s="82">
        <f>'[28]Flujos Vencimientos'!S$13</f>
        <v>15668.79</v>
      </c>
      <c r="V140" s="81">
        <f>'[28]Flujos Vencimientos'!T$13</f>
        <v>41707.98</v>
      </c>
      <c r="W140" s="82">
        <f>'[28]Flujos Vencimientos'!U$13</f>
        <v>15134.24</v>
      </c>
      <c r="X140" s="81">
        <f>'[28]Flujos Vencimientos'!V$13</f>
        <v>42249.47</v>
      </c>
      <c r="Y140" s="82">
        <f>'[28]Flujos Vencimientos'!W$13</f>
        <v>14592.74</v>
      </c>
      <c r="Z140" s="81">
        <f>'[28]Flujos Vencimientos'!X$13</f>
        <v>42798</v>
      </c>
      <c r="AA140" s="82">
        <f>'[28]Flujos Vencimientos'!Y$13</f>
        <v>14044.22</v>
      </c>
      <c r="AB140" s="51">
        <f t="shared" si="14"/>
        <v>478876.27</v>
      </c>
      <c r="AC140" s="50">
        <f t="shared" si="15"/>
        <v>203230.32</v>
      </c>
    </row>
    <row r="141" spans="1:29" s="1" customFormat="1" ht="12">
      <c r="A141" s="34" t="str">
        <f>+A73</f>
        <v>Maipú (ENOSHA)</v>
      </c>
      <c r="B141" s="81">
        <f>'[19]Flujo para el libro'!B$13</f>
        <v>37958.04</v>
      </c>
      <c r="C141" s="82">
        <f>'[19]Flujo para el libro'!C$13</f>
        <v>28025.84</v>
      </c>
      <c r="D141" s="81">
        <f>'[19]Flujo para el libro'!D$13</f>
        <v>38242.73</v>
      </c>
      <c r="E141" s="82">
        <f>'[19]Flujo para el libro'!E$13</f>
        <v>27741.15</v>
      </c>
      <c r="F141" s="81">
        <f>'[19]Flujo para el libro'!F$13</f>
        <v>38529.55</v>
      </c>
      <c r="G141" s="82">
        <f>'[19]Flujo para el libro'!G$13</f>
        <v>27454.33</v>
      </c>
      <c r="H141" s="81">
        <f>'[19]Flujo para el libro'!H$13</f>
        <v>38818.52</v>
      </c>
      <c r="I141" s="82">
        <f>'[19]Flujo para el libro'!I$13</f>
        <v>27165.36</v>
      </c>
      <c r="J141" s="81">
        <f>'[19]Flujo para el libro'!J$13</f>
        <v>39109.66</v>
      </c>
      <c r="K141" s="82">
        <f>'[19]Flujo para el libro'!K$13</f>
        <v>26874.22</v>
      </c>
      <c r="L141" s="81">
        <f>'[19]Flujo para el libro'!L$13</f>
        <v>39402.98</v>
      </c>
      <c r="M141" s="82">
        <f>'[19]Flujo para el libro'!M$13</f>
        <v>26580.9</v>
      </c>
      <c r="N141" s="51">
        <f t="shared" si="9"/>
        <v>232061.48</v>
      </c>
      <c r="O141" s="50">
        <f t="shared" si="10"/>
        <v>163841.80000000002</v>
      </c>
      <c r="P141" s="81">
        <f>'[19]Flujo para el libro'!N$13</f>
        <v>39698.5</v>
      </c>
      <c r="Q141" s="82">
        <f>'[19]Flujo para el libro'!O$13</f>
        <v>26285.38</v>
      </c>
      <c r="R141" s="81">
        <f>'[19]Flujo para el libro'!P$13</f>
        <v>39996.24</v>
      </c>
      <c r="S141" s="82">
        <f>'[19]Flujo para el libro'!Q$13</f>
        <v>25987.64</v>
      </c>
      <c r="T141" s="81">
        <f>'[19]Flujo para el libro'!R$13</f>
        <v>40296.21</v>
      </c>
      <c r="U141" s="82">
        <f>'[19]Flujo para el libro'!S$13</f>
        <v>25687.67</v>
      </c>
      <c r="V141" s="81">
        <f>'[19]Flujo para el libro'!T$13</f>
        <v>40598.43</v>
      </c>
      <c r="W141" s="82">
        <f>'[19]Flujo para el libro'!U$13</f>
        <v>25385.45</v>
      </c>
      <c r="X141" s="81">
        <f>'[19]Flujo para el libro'!V$13</f>
        <v>40902.92</v>
      </c>
      <c r="Y141" s="82">
        <f>'[19]Flujo para el libro'!W$13</f>
        <v>25080.96</v>
      </c>
      <c r="Z141" s="81">
        <f>'[19]Flujo para el libro'!X$13</f>
        <v>41209.69</v>
      </c>
      <c r="AA141" s="82">
        <f>'[19]Flujo para el libro'!Y$13</f>
        <v>24774.18</v>
      </c>
      <c r="AB141" s="51">
        <f t="shared" si="14"/>
        <v>474763.47</v>
      </c>
      <c r="AC141" s="50">
        <f t="shared" si="15"/>
        <v>317043.08</v>
      </c>
    </row>
    <row r="142" spans="1:29" s="1" customFormat="1" ht="12">
      <c r="A142" s="34" t="str">
        <f>+A74</f>
        <v>San Martín (Superville)</v>
      </c>
      <c r="B142" s="81"/>
      <c r="C142" s="82"/>
      <c r="D142" s="81"/>
      <c r="E142" s="82"/>
      <c r="F142" s="81">
        <f>'[14]Flujos Vencimientos'!$F$13</f>
        <v>183511.24</v>
      </c>
      <c r="G142" s="82">
        <f>'[14]Flujos Vencimientos'!$G$13</f>
        <v>195896.76</v>
      </c>
      <c r="H142" s="81"/>
      <c r="I142" s="82"/>
      <c r="J142" s="81"/>
      <c r="K142" s="82"/>
      <c r="L142" s="81"/>
      <c r="M142" s="82"/>
      <c r="N142" s="51">
        <f t="shared" si="9"/>
        <v>183511.24</v>
      </c>
      <c r="O142" s="50">
        <f t="shared" si="10"/>
        <v>195896.76</v>
      </c>
      <c r="P142" s="81"/>
      <c r="Q142" s="82"/>
      <c r="R142" s="81"/>
      <c r="S142" s="82"/>
      <c r="T142" s="81">
        <f>'[14]Flujos Vencimientos'!$R$13</f>
        <v>198935.35</v>
      </c>
      <c r="U142" s="82">
        <f>'[14]Flujos Vencimientos'!$S$13</f>
        <v>180472.64</v>
      </c>
      <c r="V142" s="81"/>
      <c r="W142" s="82"/>
      <c r="X142" s="81"/>
      <c r="Y142" s="82"/>
      <c r="Z142" s="81"/>
      <c r="AA142" s="82"/>
      <c r="AB142" s="51">
        <f t="shared" si="14"/>
        <v>382446.58999999997</v>
      </c>
      <c r="AC142" s="50">
        <f t="shared" si="15"/>
        <v>376369.4</v>
      </c>
    </row>
    <row r="143" spans="1:29" s="1" customFormat="1" ht="12.75" thickBot="1">
      <c r="A143" s="34" t="str">
        <f>+A75</f>
        <v>Tupungato (DAABO)</v>
      </c>
      <c r="B143" s="291">
        <f>'[1]Flujos Vencimientos'!B$13</f>
        <v>9836</v>
      </c>
      <c r="C143" s="292"/>
      <c r="D143" s="291">
        <f>'[1]Flujos Vencimientos'!D$13</f>
        <v>9836</v>
      </c>
      <c r="E143" s="292"/>
      <c r="F143" s="291">
        <f>'[1]Flujos Vencimientos'!F$13</f>
        <v>9836</v>
      </c>
      <c r="G143" s="292"/>
      <c r="H143" s="291">
        <f>'[1]Flujos Vencimientos'!H$13</f>
        <v>9836</v>
      </c>
      <c r="I143" s="292"/>
      <c r="J143" s="291">
        <f>'[1]Flujos Vencimientos'!J$13</f>
        <v>9836</v>
      </c>
      <c r="K143" s="292"/>
      <c r="L143" s="291">
        <f>'[1]Flujos Vencimientos'!L$13</f>
        <v>9836</v>
      </c>
      <c r="M143" s="292"/>
      <c r="N143" s="51">
        <f t="shared" si="9"/>
        <v>59016</v>
      </c>
      <c r="O143" s="50">
        <f t="shared" si="10"/>
        <v>0</v>
      </c>
      <c r="P143" s="291">
        <f>'[1]Flujos Vencimientos'!N$13</f>
        <v>9836</v>
      </c>
      <c r="Q143" s="292"/>
      <c r="R143" s="291">
        <f>'[1]Flujos Vencimientos'!P$13</f>
        <v>9836</v>
      </c>
      <c r="S143" s="292"/>
      <c r="T143" s="291">
        <f>'[1]Flujos Vencimientos'!R$13</f>
        <v>9836</v>
      </c>
      <c r="U143" s="292"/>
      <c r="V143" s="291">
        <f>'[1]Flujos Vencimientos'!T$13</f>
        <v>9836</v>
      </c>
      <c r="W143" s="292"/>
      <c r="X143" s="291">
        <f>'[1]Flujos Vencimientos'!V$13</f>
        <v>9836</v>
      </c>
      <c r="Y143" s="292"/>
      <c r="Z143" s="291">
        <f>'[1]Flujos Vencimientos'!X$13</f>
        <v>9836</v>
      </c>
      <c r="AA143" s="292"/>
      <c r="AB143" s="51">
        <f t="shared" si="14"/>
        <v>118032</v>
      </c>
      <c r="AC143" s="50">
        <f t="shared" si="15"/>
        <v>0</v>
      </c>
    </row>
    <row r="144" spans="1:29" s="42" customFormat="1" ht="12.75" thickBot="1">
      <c r="A144" s="30" t="s">
        <v>121</v>
      </c>
      <c r="B144" s="28">
        <f>+B99+B101+B119+B123+B132+B138</f>
        <v>4140169.76</v>
      </c>
      <c r="C144" s="27">
        <f>+C99+C101+C119+C123+C132+C138</f>
        <v>1578364.1400000001</v>
      </c>
      <c r="D144" s="28">
        <f aca="true" t="shared" si="24" ref="D144:M144">+D99+D101+D119+D123+D132+D138</f>
        <v>2843778.76</v>
      </c>
      <c r="E144" s="27">
        <f t="shared" si="24"/>
        <v>776899.23</v>
      </c>
      <c r="F144" s="28">
        <f t="shared" si="24"/>
        <v>3056793.1300000004</v>
      </c>
      <c r="G144" s="27">
        <f t="shared" si="24"/>
        <v>955703.31</v>
      </c>
      <c r="H144" s="28">
        <f t="shared" si="24"/>
        <v>3297409.6199999996</v>
      </c>
      <c r="I144" s="27">
        <f t="shared" si="24"/>
        <v>743908.3600000001</v>
      </c>
      <c r="J144" s="28">
        <f t="shared" si="24"/>
        <v>2933280.5599999996</v>
      </c>
      <c r="K144" s="27">
        <f t="shared" si="24"/>
        <v>703362.49</v>
      </c>
      <c r="L144" s="28">
        <f t="shared" si="24"/>
        <v>2963783.68</v>
      </c>
      <c r="M144" s="27">
        <f t="shared" si="24"/>
        <v>671163.1399999999</v>
      </c>
      <c r="N144" s="28">
        <f t="shared" si="9"/>
        <v>19235215.509999998</v>
      </c>
      <c r="O144" s="27">
        <f t="shared" si="10"/>
        <v>5429400.67</v>
      </c>
      <c r="P144" s="28">
        <f aca="true" t="shared" si="25" ref="P144:AA144">+P99+P101+P119+P123+P132+P138</f>
        <v>4216678.61</v>
      </c>
      <c r="Q144" s="27">
        <f t="shared" si="25"/>
        <v>1340536.5</v>
      </c>
      <c r="R144" s="28">
        <f t="shared" si="25"/>
        <v>3252156.89</v>
      </c>
      <c r="S144" s="27">
        <f t="shared" si="25"/>
        <v>626740.3</v>
      </c>
      <c r="T144" s="28">
        <f t="shared" si="25"/>
        <v>3078186.4500000007</v>
      </c>
      <c r="U144" s="27">
        <f t="shared" si="25"/>
        <v>768339.78</v>
      </c>
      <c r="V144" s="28">
        <f t="shared" si="25"/>
        <v>2908739.2700000005</v>
      </c>
      <c r="W144" s="27">
        <f t="shared" si="25"/>
        <v>563662.3999999999</v>
      </c>
      <c r="X144" s="28">
        <f t="shared" si="25"/>
        <v>2617430.45</v>
      </c>
      <c r="Y144" s="27">
        <f t="shared" si="25"/>
        <v>532354.53</v>
      </c>
      <c r="Z144" s="28">
        <f t="shared" si="25"/>
        <v>2643915.27</v>
      </c>
      <c r="AA144" s="27">
        <f t="shared" si="25"/>
        <v>511420.86</v>
      </c>
      <c r="AB144" s="28">
        <f t="shared" si="14"/>
        <v>37952322.45</v>
      </c>
      <c r="AC144" s="27">
        <f t="shared" si="15"/>
        <v>9772455.04</v>
      </c>
    </row>
    <row r="145" spans="1:29" s="295" customFormat="1" ht="6" customHeight="1" thickBot="1">
      <c r="A145" s="77"/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4"/>
      <c r="AC145" s="294"/>
    </row>
    <row r="146" spans="1:29" ht="15.75" thickBot="1">
      <c r="A146" s="87" t="s">
        <v>93</v>
      </c>
      <c r="B146" s="28">
        <f>B96+B144</f>
        <v>4801882.279999999</v>
      </c>
      <c r="C146" s="27">
        <f aca="true" t="shared" si="26" ref="C146:M146">C96+C144</f>
        <v>1699756.62</v>
      </c>
      <c r="D146" s="28">
        <f t="shared" si="26"/>
        <v>3514032.8099999996</v>
      </c>
      <c r="E146" s="27">
        <f t="shared" si="26"/>
        <v>886931.1</v>
      </c>
      <c r="F146" s="28">
        <f t="shared" si="26"/>
        <v>3733206.9300000006</v>
      </c>
      <c r="G146" s="27">
        <f t="shared" si="26"/>
        <v>1077494.84</v>
      </c>
      <c r="H146" s="28">
        <f t="shared" si="26"/>
        <v>3976792.7299999995</v>
      </c>
      <c r="I146" s="27">
        <f t="shared" si="26"/>
        <v>861171.7700000001</v>
      </c>
      <c r="J146" s="28">
        <f t="shared" si="26"/>
        <v>3615646.3099999996</v>
      </c>
      <c r="K146" s="27">
        <f t="shared" si="26"/>
        <v>823907.47</v>
      </c>
      <c r="L146" s="28">
        <f t="shared" si="26"/>
        <v>3649144.87</v>
      </c>
      <c r="M146" s="27">
        <f t="shared" si="26"/>
        <v>787205.0999999999</v>
      </c>
      <c r="N146" s="28">
        <f>B146+D146+F146+H146+J146+L146</f>
        <v>23290705.93</v>
      </c>
      <c r="O146" s="27">
        <f>C146+E146+G146+I146+K146+M146</f>
        <v>6136466.9</v>
      </c>
      <c r="P146" s="28">
        <f aca="true" t="shared" si="27" ref="P146:AA146">P96+P144</f>
        <v>4905048.680000001</v>
      </c>
      <c r="Q146" s="27">
        <f t="shared" si="27"/>
        <v>1459803.72</v>
      </c>
      <c r="R146" s="28">
        <f t="shared" si="27"/>
        <v>3943548.7600000002</v>
      </c>
      <c r="S146" s="27">
        <f t="shared" si="27"/>
        <v>745356.54</v>
      </c>
      <c r="T146" s="28">
        <f t="shared" si="27"/>
        <v>3772613.670000001</v>
      </c>
      <c r="U146" s="27">
        <f t="shared" si="27"/>
        <v>882492.0700000001</v>
      </c>
      <c r="V146" s="28">
        <f t="shared" si="27"/>
        <v>3606214.8800000004</v>
      </c>
      <c r="W146" s="27">
        <f t="shared" si="27"/>
        <v>680952.9199999999</v>
      </c>
      <c r="X146" s="28">
        <f t="shared" si="27"/>
        <v>3317968.13</v>
      </c>
      <c r="Y146" s="27">
        <f t="shared" si="27"/>
        <v>645208.24</v>
      </c>
      <c r="Z146" s="28">
        <f t="shared" si="27"/>
        <v>3347528.1100000003</v>
      </c>
      <c r="AA146" s="27">
        <f t="shared" si="27"/>
        <v>627353.23</v>
      </c>
      <c r="AB146" s="28">
        <f>+N146+P146+R146+T146+V146+X146+Z146</f>
        <v>46183628.160000004</v>
      </c>
      <c r="AC146" s="27">
        <f>O146+Q146+S146+U146+W146+Y146+AA146</f>
        <v>11177633.620000001</v>
      </c>
    </row>
    <row r="149" spans="1:30" ht="27" thickBot="1">
      <c r="A149" s="21"/>
      <c r="B149" s="21"/>
      <c r="C149" s="21"/>
      <c r="D149" s="21"/>
      <c r="E149" s="21"/>
      <c r="F149" s="21"/>
      <c r="G149" s="21"/>
      <c r="H149" s="22" t="s">
        <v>136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2" t="str">
        <f>H149</f>
        <v>AÑO 2014</v>
      </c>
      <c r="W149" s="21"/>
      <c r="X149" s="21"/>
      <c r="Y149" s="21"/>
      <c r="Z149" s="21"/>
      <c r="AA149" s="21"/>
      <c r="AB149" s="755"/>
      <c r="AC149" s="755"/>
      <c r="AD149" s="16" t="str">
        <f>V149</f>
        <v>AÑO 2014</v>
      </c>
    </row>
    <row r="150" spans="1:29" s="42" customFormat="1" ht="12.75" thickBot="1">
      <c r="A150" s="45" t="s">
        <v>96</v>
      </c>
      <c r="B150" s="44"/>
      <c r="C150" s="44"/>
      <c r="D150" s="44"/>
      <c r="E150" s="44"/>
      <c r="F150" s="44"/>
      <c r="G150" s="44"/>
      <c r="H150" s="44" t="s">
        <v>144</v>
      </c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 t="str">
        <f>H150</f>
        <v>TOMADOS EN DOLARES</v>
      </c>
      <c r="W150" s="44"/>
      <c r="X150" s="44"/>
      <c r="Y150" s="44"/>
      <c r="Z150" s="44"/>
      <c r="AA150" s="44"/>
      <c r="AB150" s="44"/>
      <c r="AC150" s="52"/>
    </row>
    <row r="151" spans="1:29" ht="12.75">
      <c r="A151" s="75" t="s">
        <v>122</v>
      </c>
      <c r="B151" s="69">
        <f>SUM(B152:B163)</f>
        <v>708585.49</v>
      </c>
      <c r="C151" s="70">
        <f>SUM(C152:C163)</f>
        <v>115547.87999999999</v>
      </c>
      <c r="D151" s="69">
        <f aca="true" t="shared" si="28" ref="D151:M151">SUM(D152:D163)</f>
        <v>713592.85</v>
      </c>
      <c r="E151" s="70">
        <f t="shared" si="28"/>
        <v>104008.54999999999</v>
      </c>
      <c r="F151" s="69">
        <f t="shared" si="28"/>
        <v>718636</v>
      </c>
      <c r="G151" s="70">
        <f t="shared" si="28"/>
        <v>114745.49999999997</v>
      </c>
      <c r="H151" s="69">
        <f t="shared" si="28"/>
        <v>723714.4099999999</v>
      </c>
      <c r="I151" s="70">
        <f t="shared" si="28"/>
        <v>110639.12</v>
      </c>
      <c r="J151" s="69">
        <f t="shared" si="28"/>
        <v>728829.1</v>
      </c>
      <c r="K151" s="70">
        <f t="shared" si="28"/>
        <v>113896.93000000001</v>
      </c>
      <c r="L151" s="69">
        <f t="shared" si="28"/>
        <v>733979.5200000001</v>
      </c>
      <c r="M151" s="70">
        <f t="shared" si="28"/>
        <v>109795.31999999998</v>
      </c>
      <c r="N151" s="69">
        <f aca="true" t="shared" si="29" ref="N151:N164">B151+D151+F151+H151+J151+L151</f>
        <v>4327337.37</v>
      </c>
      <c r="O151" s="70">
        <f aca="true" t="shared" si="30" ref="O151:O164">C151+E151+G151+I151+K151+M151</f>
        <v>668633.2999999999</v>
      </c>
      <c r="P151" s="69">
        <f aca="true" t="shared" si="31" ref="P151:AA151">SUM(P152:P163)</f>
        <v>739166.79</v>
      </c>
      <c r="Q151" s="70">
        <f t="shared" si="31"/>
        <v>113001.39000000001</v>
      </c>
      <c r="R151" s="69">
        <f t="shared" si="31"/>
        <v>744390.2499999999</v>
      </c>
      <c r="S151" s="70">
        <f t="shared" si="31"/>
        <v>112535.52000000002</v>
      </c>
      <c r="T151" s="69">
        <f t="shared" si="31"/>
        <v>749651.0800000001</v>
      </c>
      <c r="U151" s="70">
        <f t="shared" si="31"/>
        <v>108442.63</v>
      </c>
      <c r="V151" s="69">
        <f t="shared" si="31"/>
        <v>754948.63</v>
      </c>
      <c r="W151" s="70">
        <f t="shared" si="31"/>
        <v>111566.90999999999</v>
      </c>
      <c r="X151" s="69">
        <f t="shared" si="31"/>
        <v>760284.1</v>
      </c>
      <c r="Y151" s="70">
        <f t="shared" si="31"/>
        <v>107481.23999999999</v>
      </c>
      <c r="Z151" s="69">
        <f t="shared" si="31"/>
        <v>765656.76</v>
      </c>
      <c r="AA151" s="70">
        <f t="shared" si="31"/>
        <v>110548.18000000002</v>
      </c>
      <c r="AB151" s="69">
        <f aca="true" t="shared" si="32" ref="AB151:AB164">+N151+P151+R151+T151+V151+X151+Z151</f>
        <v>8841434.98</v>
      </c>
      <c r="AC151" s="70">
        <f aca="true" t="shared" si="33" ref="AC151:AC164">O151+Q151+S151+U151+W151+Y151+AA151</f>
        <v>1332209.17</v>
      </c>
    </row>
    <row r="152" spans="1:29" ht="12.75">
      <c r="A152" s="34" t="s">
        <v>1</v>
      </c>
      <c r="B152" s="67">
        <f>'[24]Flujo Vencimientos'!B$14</f>
        <v>76454.45</v>
      </c>
      <c r="C152" s="68">
        <f>'[24]Flujo Vencimientos'!C$14</f>
        <v>12467.289999999999</v>
      </c>
      <c r="D152" s="67">
        <f>'[24]Flujo Vencimientos'!D$14</f>
        <v>76994.7</v>
      </c>
      <c r="E152" s="68">
        <f>'[24]Flujo Vencimientos'!E$14</f>
        <v>11222.24</v>
      </c>
      <c r="F152" s="67">
        <f>'[24]Flujo Vencimientos'!F$14</f>
        <v>77538.87</v>
      </c>
      <c r="G152" s="68">
        <f>'[24]Flujo Vencimientos'!G$14</f>
        <v>12380.71</v>
      </c>
      <c r="H152" s="67">
        <f>'[24]Flujo Vencimientos'!H$14</f>
        <v>78086.79000000001</v>
      </c>
      <c r="I152" s="68">
        <f>'[24]Flujo Vencimientos'!I$14</f>
        <v>11937.66</v>
      </c>
      <c r="J152" s="67">
        <f>'[24]Flujo Vencimientos'!J$14</f>
        <v>78638.68</v>
      </c>
      <c r="K152" s="68">
        <f>'[24]Flujo Vencimientos'!K$14</f>
        <v>12289.17</v>
      </c>
      <c r="L152" s="67">
        <f>'[24]Flujo Vencimientos'!L$14</f>
        <v>79194.37</v>
      </c>
      <c r="M152" s="68">
        <f>'[24]Flujo Vencimientos'!M$14</f>
        <v>11846.64</v>
      </c>
      <c r="N152" s="73">
        <f t="shared" si="29"/>
        <v>466907.86</v>
      </c>
      <c r="O152" s="74">
        <f t="shared" si="30"/>
        <v>72143.70999999999</v>
      </c>
      <c r="P152" s="67">
        <f>'[24]Flujo Vencimientos'!N$14</f>
        <v>79754.09</v>
      </c>
      <c r="Q152" s="68">
        <f>'[24]Flujo Vencimientos'!O$14</f>
        <v>12192.539999999999</v>
      </c>
      <c r="R152" s="67">
        <f>'[24]Flujo Vencimientos'!P$14</f>
        <v>80317.65000000001</v>
      </c>
      <c r="S152" s="68">
        <f>'[24]Flujo Vencimientos'!Q$14</f>
        <v>12142.28</v>
      </c>
      <c r="T152" s="67">
        <f>'[24]Flujo Vencimientos'!R$14</f>
        <v>80885.32</v>
      </c>
      <c r="U152" s="68">
        <f>'[24]Flujo Vencimientos'!S$14</f>
        <v>11700.669999999998</v>
      </c>
      <c r="V152" s="67">
        <f>'[24]Flujo Vencimientos'!T$14</f>
        <v>81456.88</v>
      </c>
      <c r="W152" s="68">
        <f>'[24]Flujo Vencimientos'!U$14</f>
        <v>12037.79</v>
      </c>
      <c r="X152" s="67">
        <f>'[24]Flujo Vencimientos'!V$14</f>
        <v>82032.59</v>
      </c>
      <c r="Y152" s="68">
        <f>'[24]Flujo Vencimientos'!W$14</f>
        <v>11596.95</v>
      </c>
      <c r="Z152" s="67">
        <f>'[24]Flujo Vencimientos'!X$14</f>
        <v>82612.25</v>
      </c>
      <c r="AA152" s="68">
        <f>'[24]Flujo Vencimientos'!Y$14</f>
        <v>11927.83</v>
      </c>
      <c r="AB152" s="73">
        <f t="shared" si="32"/>
        <v>953966.6399999999</v>
      </c>
      <c r="AC152" s="74">
        <f t="shared" si="33"/>
        <v>143741.77</v>
      </c>
    </row>
    <row r="153" spans="1:29" ht="12.75">
      <c r="A153" s="34" t="s">
        <v>21</v>
      </c>
      <c r="B153" s="67">
        <f>'[26]Flujo de Vencimientos'!B$14</f>
        <v>46272.31</v>
      </c>
      <c r="C153" s="68">
        <f>'[26]Flujo de Vencimientos'!C$14</f>
        <v>7545.55</v>
      </c>
      <c r="D153" s="67">
        <f>'[26]Flujo de Vencimientos'!D$14</f>
        <v>46599.32</v>
      </c>
      <c r="E153" s="68">
        <f>'[26]Flujo de Vencimientos'!E$14</f>
        <v>6792</v>
      </c>
      <c r="F153" s="67">
        <f>'[26]Flujo de Vencimientos'!F$14</f>
        <v>46928.64</v>
      </c>
      <c r="G153" s="68">
        <f>'[26]Flujo de Vencimientos'!G$14</f>
        <v>7493.139999999999</v>
      </c>
      <c r="H153" s="67">
        <f>'[26]Flujo de Vencimientos'!H$14</f>
        <v>47260.28</v>
      </c>
      <c r="I153" s="68">
        <f>'[26]Flujo de Vencimientos'!I$14</f>
        <v>7225.02</v>
      </c>
      <c r="J153" s="67">
        <f>'[26]Flujo de Vencimientos'!J$14</f>
        <v>47594.27</v>
      </c>
      <c r="K153" s="68">
        <f>'[26]Flujo de Vencimientos'!K$14</f>
        <v>7437.72</v>
      </c>
      <c r="L153" s="67">
        <f>'[26]Flujo de Vencimientos'!L$14</f>
        <v>47930.619999999995</v>
      </c>
      <c r="M153" s="68">
        <f>'[26]Flujo de Vencimientos'!M$14</f>
        <v>7169.889999999999</v>
      </c>
      <c r="N153" s="73">
        <f t="shared" si="29"/>
        <v>282585.44</v>
      </c>
      <c r="O153" s="74">
        <f t="shared" si="30"/>
        <v>43663.32</v>
      </c>
      <c r="P153" s="67">
        <f>'[26]Flujo de Vencimientos'!N$14</f>
        <v>48269.35</v>
      </c>
      <c r="Q153" s="68">
        <f>'[26]Flujo de Vencimientos'!O$14</f>
        <v>7379.280000000001</v>
      </c>
      <c r="R153" s="67">
        <f>'[26]Flujo de Vencimientos'!P$14</f>
        <v>48610.47</v>
      </c>
      <c r="S153" s="68">
        <f>'[26]Flujo de Vencimientos'!Q$14</f>
        <v>7348.83</v>
      </c>
      <c r="T153" s="67">
        <f>'[26]Flujo de Vencimientos'!R$14</f>
        <v>48954</v>
      </c>
      <c r="U153" s="68">
        <f>'[26]Flujo de Vencimientos'!S$14</f>
        <v>7081.56</v>
      </c>
      <c r="V153" s="67">
        <f>'[26]Flujo de Vencimientos'!T$14</f>
        <v>49299.95</v>
      </c>
      <c r="W153" s="68">
        <f>'[26]Flujo de Vencimientos'!U$14</f>
        <v>7285.57</v>
      </c>
      <c r="X153" s="67">
        <f>'[26]Flujo de Vencimientos'!V$14</f>
        <v>49648.36</v>
      </c>
      <c r="Y153" s="68">
        <f>'[26]Flujo de Vencimientos'!W$14</f>
        <v>7018.79</v>
      </c>
      <c r="Z153" s="67">
        <f>'[26]Flujo de Vencimientos'!X$14</f>
        <v>49999.22</v>
      </c>
      <c r="AA153" s="68">
        <f>'[26]Flujo de Vencimientos'!Y$14</f>
        <v>7219.05</v>
      </c>
      <c r="AB153" s="73">
        <f t="shared" si="32"/>
        <v>577366.79</v>
      </c>
      <c r="AC153" s="74">
        <f t="shared" si="33"/>
        <v>86996.4</v>
      </c>
    </row>
    <row r="154" spans="1:29" ht="12.75">
      <c r="A154" s="34" t="s">
        <v>22</v>
      </c>
      <c r="B154" s="67">
        <f>'[41]Flujo Vencimientos'!B$14</f>
        <v>72797.1</v>
      </c>
      <c r="C154" s="68">
        <f>'[41]Flujo Vencimientos'!C$14</f>
        <v>11870.9</v>
      </c>
      <c r="D154" s="67">
        <f>'[41]Flujo Vencimientos'!D$14</f>
        <v>73311.5</v>
      </c>
      <c r="E154" s="68">
        <f>'[41]Flujo Vencimientos'!E$14</f>
        <v>10685.43</v>
      </c>
      <c r="F154" s="67">
        <f>'[41]Flujo Vencimientos'!F$14</f>
        <v>73829.65000000001</v>
      </c>
      <c r="G154" s="68">
        <f>'[41]Flujo Vencimientos'!G$14</f>
        <v>11788.47</v>
      </c>
      <c r="H154" s="67">
        <f>'[41]Flujo Vencimientos'!H$14</f>
        <v>74351.35</v>
      </c>
      <c r="I154" s="68">
        <f>'[41]Flujo Vencimientos'!I$14</f>
        <v>11366.61</v>
      </c>
      <c r="J154" s="67">
        <f>'[41]Flujo Vencimientos'!J$14</f>
        <v>74876.84</v>
      </c>
      <c r="K154" s="68">
        <f>'[41]Flujo Vencimientos'!K$14</f>
        <v>11701.31</v>
      </c>
      <c r="L154" s="67">
        <f>'[41]Flujo Vencimientos'!L$14</f>
        <v>75405.94</v>
      </c>
      <c r="M154" s="68">
        <f>'[41]Flujo Vencimientos'!M$14</f>
        <v>11279.92</v>
      </c>
      <c r="N154" s="73">
        <f t="shared" si="29"/>
        <v>444572.37999999995</v>
      </c>
      <c r="O154" s="74">
        <f t="shared" si="30"/>
        <v>68692.64</v>
      </c>
      <c r="P154" s="67">
        <f>'[41]Flujo Vencimientos'!N$14</f>
        <v>75938.89</v>
      </c>
      <c r="Q154" s="68">
        <f>'[41]Flujo Vencimientos'!O$14</f>
        <v>11609.3</v>
      </c>
      <c r="R154" s="67">
        <f>'[41]Flujo Vencimientos'!P$14</f>
        <v>76475.5</v>
      </c>
      <c r="S154" s="68">
        <f>'[41]Flujo Vencimientos'!Q$14</f>
        <v>11561.45</v>
      </c>
      <c r="T154" s="67">
        <f>'[41]Flujo Vencimientos'!R$14</f>
        <v>77016</v>
      </c>
      <c r="U154" s="68">
        <f>'[41]Flujo Vencimientos'!S$14</f>
        <v>11140.939999999999</v>
      </c>
      <c r="V154" s="67">
        <f>'[41]Flujo Vencimientos'!T$14</f>
        <v>77560.22</v>
      </c>
      <c r="W154" s="68">
        <f>'[41]Flujo Vencimientos'!U$14</f>
        <v>11461.89</v>
      </c>
      <c r="X154" s="67">
        <f>'[41]Flujo Vencimientos'!V$14</f>
        <v>78108.40000000001</v>
      </c>
      <c r="Y154" s="68">
        <f>'[41]Flujo Vencimientos'!W$14</f>
        <v>11042.16</v>
      </c>
      <c r="Z154" s="67">
        <f>'[41]Flujo Vencimientos'!X$14</f>
        <v>78660.33</v>
      </c>
      <c r="AA154" s="68">
        <f>'[41]Flujo Vencimientos'!Y$14</f>
        <v>11357.25</v>
      </c>
      <c r="AB154" s="73">
        <f t="shared" si="32"/>
        <v>908331.72</v>
      </c>
      <c r="AC154" s="74">
        <f t="shared" si="33"/>
        <v>136865.63</v>
      </c>
    </row>
    <row r="155" spans="1:29" ht="12.75">
      <c r="A155" s="34" t="s">
        <v>16</v>
      </c>
      <c r="B155" s="67">
        <f>'[39]Flujo Vencimiento'!B$14</f>
        <v>155997.05</v>
      </c>
      <c r="C155" s="68">
        <f>'[39]Flujo Vencimiento'!C$14</f>
        <v>25438.2</v>
      </c>
      <c r="D155" s="67">
        <f>'[39]Flujo Vencimiento'!D$14</f>
        <v>157099.43</v>
      </c>
      <c r="E155" s="68">
        <f>'[39]Flujo Vencimiento'!E$14</f>
        <v>22897.769999999997</v>
      </c>
      <c r="F155" s="67">
        <f>'[39]Flujo Vencimiento'!F$14</f>
        <v>158209.7</v>
      </c>
      <c r="G155" s="68">
        <f>'[39]Flujo Vencimiento'!G$14</f>
        <v>25261.53</v>
      </c>
      <c r="H155" s="67">
        <f>'[39]Flujo Vencimiento'!H$14</f>
        <v>159327.72</v>
      </c>
      <c r="I155" s="68">
        <f>'[39]Flujo Vencimiento'!I$14</f>
        <v>24357.5</v>
      </c>
      <c r="J155" s="67">
        <f>'[39]Flujo Vencimiento'!J$14</f>
        <v>160453.74</v>
      </c>
      <c r="K155" s="68">
        <f>'[39]Flujo Vencimiento'!K$14</f>
        <v>25074.74</v>
      </c>
      <c r="L155" s="67">
        <f>'[39]Flujo Vencimiento'!L$14</f>
        <v>161587.61</v>
      </c>
      <c r="M155" s="68">
        <f>'[39]Flujo Vencimiento'!M$14</f>
        <v>24171.73</v>
      </c>
      <c r="N155" s="73">
        <f t="shared" si="29"/>
        <v>952675.25</v>
      </c>
      <c r="O155" s="74">
        <f t="shared" si="30"/>
        <v>147201.47</v>
      </c>
      <c r="P155" s="67">
        <f>'[39]Flujo Vencimiento'!N$14</f>
        <v>162729.61000000002</v>
      </c>
      <c r="Q155" s="68">
        <f>'[39]Flujo Vencimiento'!O$14</f>
        <v>24877.56</v>
      </c>
      <c r="R155" s="67">
        <f>'[39]Flujo Vencimiento'!P$14</f>
        <v>163879.56</v>
      </c>
      <c r="S155" s="68">
        <f>'[39]Flujo Vencimiento'!Q$14</f>
        <v>24775</v>
      </c>
      <c r="T155" s="67">
        <f>'[39]Flujo Vencimiento'!R$14</f>
        <v>165037.75</v>
      </c>
      <c r="U155" s="68">
        <f>'[39]Flujo Vencimiento'!S$14</f>
        <v>23873.940000000002</v>
      </c>
      <c r="V155" s="67">
        <f>'[39]Flujo Vencimiento'!T$14</f>
        <v>166204.02</v>
      </c>
      <c r="W155" s="68">
        <f>'[39]Flujo Vencimiento'!U$14</f>
        <v>24561.760000000002</v>
      </c>
      <c r="X155" s="67">
        <f>'[39]Flujo Vencimiento'!V$14</f>
        <v>167378.64</v>
      </c>
      <c r="Y155" s="68">
        <f>'[39]Flujo Vencimiento'!W$14</f>
        <v>23662.28</v>
      </c>
      <c r="Z155" s="67">
        <f>'[39]Flujo Vencimiento'!X$14</f>
        <v>168561.44999999998</v>
      </c>
      <c r="AA155" s="68">
        <f>'[39]Flujo Vencimiento'!Y$14</f>
        <v>24337.5</v>
      </c>
      <c r="AB155" s="73">
        <f t="shared" si="32"/>
        <v>1946466.28</v>
      </c>
      <c r="AC155" s="74">
        <f t="shared" si="33"/>
        <v>293289.51</v>
      </c>
    </row>
    <row r="156" spans="1:29" ht="12.75">
      <c r="A156" s="34" t="s">
        <v>15</v>
      </c>
      <c r="B156" s="67">
        <f>'[36]Flujo de Vencimientos'!B$14</f>
        <v>15243.63</v>
      </c>
      <c r="C156" s="68">
        <f>'[36]Flujo de Vencimientos'!C$14</f>
        <v>2485.77</v>
      </c>
      <c r="D156" s="67">
        <f>'[36]Flujo de Vencimientos'!D$14</f>
        <v>15351.35</v>
      </c>
      <c r="E156" s="68">
        <f>'[36]Flujo de Vencimientos'!E$14</f>
        <v>2237.5</v>
      </c>
      <c r="F156" s="67">
        <f>'[36]Flujo de Vencimientos'!F$14</f>
        <v>15459.84</v>
      </c>
      <c r="G156" s="68">
        <f>'[36]Flujo de Vencimientos'!G$14</f>
        <v>2468.47</v>
      </c>
      <c r="H156" s="67">
        <f>'[36]Flujo de Vencimientos'!H$14</f>
        <v>15569.1</v>
      </c>
      <c r="I156" s="68">
        <f>'[36]Flujo de Vencimientos'!I$14</f>
        <v>2380.18</v>
      </c>
      <c r="J156" s="67">
        <f>'[36]Flujo de Vencimientos'!J$14</f>
        <v>15679.12</v>
      </c>
      <c r="K156" s="68">
        <f>'[36]Flujo de Vencimientos'!K$14</f>
        <v>2450.24</v>
      </c>
      <c r="L156" s="67">
        <f>'[36]Flujo de Vencimientos'!L$14</f>
        <v>15789.93</v>
      </c>
      <c r="M156" s="68">
        <f>'[36]Flujo de Vencimientos'!M$14</f>
        <v>2362.02</v>
      </c>
      <c r="N156" s="73">
        <f t="shared" si="29"/>
        <v>93092.97</v>
      </c>
      <c r="O156" s="74">
        <f t="shared" si="30"/>
        <v>14384.18</v>
      </c>
      <c r="P156" s="67">
        <f>'[36]Flujo de Vencimientos'!N$14</f>
        <v>15901.52</v>
      </c>
      <c r="Q156" s="68">
        <f>'[36]Flujo de Vencimientos'!O$14</f>
        <v>2431</v>
      </c>
      <c r="R156" s="67">
        <f>'[36]Flujo de Vencimientos'!P$14</f>
        <v>16013.89</v>
      </c>
      <c r="S156" s="68">
        <f>'[36]Flujo de Vencimientos'!Q$14</f>
        <v>2420.96</v>
      </c>
      <c r="T156" s="67">
        <f>'[36]Flujo de Vencimientos'!R$14</f>
        <v>16127.06</v>
      </c>
      <c r="U156" s="68">
        <f>'[36]Flujo de Vencimientos'!S$14</f>
        <v>2332.92</v>
      </c>
      <c r="V156" s="67">
        <f>'[36]Flujo de Vencimientos'!T$14</f>
        <v>16241.030000000002</v>
      </c>
      <c r="W156" s="68">
        <f>'[36]Flujo de Vencimientos'!U$14</f>
        <v>2400.09</v>
      </c>
      <c r="X156" s="67">
        <f>'[36]Flujo de Vencimientos'!V$14</f>
        <v>16355.809999999998</v>
      </c>
      <c r="Y156" s="68">
        <f>'[36]Flujo de Vencimientos'!W$14</f>
        <v>2312.24</v>
      </c>
      <c r="Z156" s="67">
        <f>'[36]Flujo de Vencimientos'!X$14</f>
        <v>16471.39</v>
      </c>
      <c r="AA156" s="68">
        <f>'[36]Flujo de Vencimientos'!Y$14</f>
        <v>2378.2000000000003</v>
      </c>
      <c r="AB156" s="73">
        <f t="shared" si="32"/>
        <v>190203.66999999998</v>
      </c>
      <c r="AC156" s="74">
        <f t="shared" si="33"/>
        <v>28659.59</v>
      </c>
    </row>
    <row r="157" spans="1:29" ht="12.75">
      <c r="A157" s="34" t="s">
        <v>14</v>
      </c>
      <c r="B157" s="67">
        <f>'[34]Flujo de Vencimiento'!B$14</f>
        <v>9894.92</v>
      </c>
      <c r="C157" s="68">
        <f>'[34]Flujo de Vencimiento'!C$14</f>
        <v>1613.52</v>
      </c>
      <c r="D157" s="67">
        <f>'[34]Flujo de Vencimiento'!D$14</f>
        <v>9964.8</v>
      </c>
      <c r="E157" s="68">
        <f>'[34]Flujo de Vencimiento'!E$14</f>
        <v>1452.38</v>
      </c>
      <c r="F157" s="67">
        <f>'[34]Flujo de Vencimiento'!F$14</f>
        <v>10035.27</v>
      </c>
      <c r="G157" s="68">
        <f>'[34]Flujo de Vencimiento'!G$14</f>
        <v>1602.32</v>
      </c>
      <c r="H157" s="67">
        <f>'[34]Flujo de Vencimiento'!H$14</f>
        <v>10106.14</v>
      </c>
      <c r="I157" s="68">
        <f>'[34]Flujo de Vencimiento'!I$14</f>
        <v>1545</v>
      </c>
      <c r="J157" s="67">
        <f>'[34]Flujo de Vencimiento'!J$14</f>
        <v>10177.609999999999</v>
      </c>
      <c r="K157" s="68">
        <f>'[34]Flujo de Vencimiento'!K$14</f>
        <v>1590.48</v>
      </c>
      <c r="L157" s="67">
        <f>'[34]Flujo de Vencimiento'!L$14</f>
        <v>10249.48</v>
      </c>
      <c r="M157" s="68">
        <f>'[34]Flujo de Vencimiento'!M$14</f>
        <v>1533.2</v>
      </c>
      <c r="N157" s="73">
        <f t="shared" si="29"/>
        <v>60428.22</v>
      </c>
      <c r="O157" s="74">
        <f t="shared" si="30"/>
        <v>9336.900000000001</v>
      </c>
      <c r="P157" s="67">
        <f>'[34]Flujo de Vencimiento'!N$14</f>
        <v>10321.97</v>
      </c>
      <c r="Q157" s="68">
        <f>'[34]Flujo de Vencimiento'!O$14</f>
        <v>1577.98</v>
      </c>
      <c r="R157" s="67">
        <f>'[34]Flujo de Vencimiento'!P$14</f>
        <v>10394.859999999999</v>
      </c>
      <c r="S157" s="68">
        <f>'[34]Flujo de Vencimiento'!Q$14</f>
        <v>1571.45</v>
      </c>
      <c r="T157" s="67">
        <f>'[34]Flujo de Vencimiento'!R$14</f>
        <v>10468.38</v>
      </c>
      <c r="U157" s="68">
        <f>'[34]Flujo de Vencimiento'!S$14</f>
        <v>1514.31</v>
      </c>
      <c r="V157" s="67">
        <f>'[34]Flujo de Vencimiento'!T$14</f>
        <v>10542.3</v>
      </c>
      <c r="W157" s="68">
        <f>'[34]Flujo de Vencimiento'!U$14</f>
        <v>1557.94</v>
      </c>
      <c r="X157" s="67">
        <f>'[34]Flujo de Vencimiento'!V$14</f>
        <v>10616.859999999999</v>
      </c>
      <c r="Y157" s="68">
        <f>'[34]Flujo de Vencimiento'!W$14</f>
        <v>1500.8700000000001</v>
      </c>
      <c r="Z157" s="67">
        <f>'[34]Flujo de Vencimiento'!X$14</f>
        <v>10691.83</v>
      </c>
      <c r="AA157" s="68">
        <f>'[34]Flujo de Vencimiento'!Y$14</f>
        <v>1543.72</v>
      </c>
      <c r="AB157" s="73">
        <f t="shared" si="32"/>
        <v>123464.42000000001</v>
      </c>
      <c r="AC157" s="74">
        <f t="shared" si="33"/>
        <v>18603.170000000002</v>
      </c>
    </row>
    <row r="158" spans="1:29" ht="12.75">
      <c r="A158" s="34" t="s">
        <v>13</v>
      </c>
      <c r="B158" s="67">
        <f>'[32]Flujo de Vencimientos'!B$14</f>
        <v>36705.77</v>
      </c>
      <c r="C158" s="68">
        <f>'[32]Flujo de Vencimientos'!C$14</f>
        <v>5985.54</v>
      </c>
      <c r="D158" s="67">
        <f>'[32]Flujo de Vencimientos'!D$14</f>
        <v>36965.22</v>
      </c>
      <c r="E158" s="68">
        <f>'[32]Flujo de Vencimientos'!E$14</f>
        <v>5387.79</v>
      </c>
      <c r="F158" s="67">
        <f>'[32]Flujo de Vencimientos'!F$14</f>
        <v>37226.4</v>
      </c>
      <c r="G158" s="68">
        <f>'[32]Flujo de Vencimientos'!G$14</f>
        <v>5944.01</v>
      </c>
      <c r="H158" s="67">
        <f>'[32]Flujo de Vencimientos'!H$14</f>
        <v>37489.53</v>
      </c>
      <c r="I158" s="68">
        <f>'[32]Flujo de Vencimientos'!I$14</f>
        <v>5731.27</v>
      </c>
      <c r="J158" s="67">
        <f>'[32]Flujo de Vencimientos'!J$14</f>
        <v>37754.42</v>
      </c>
      <c r="K158" s="68">
        <f>'[32]Flujo de Vencimientos'!K$14</f>
        <v>5900.05</v>
      </c>
      <c r="L158" s="67">
        <f>'[32]Flujo de Vencimientos'!L$14</f>
        <v>38021.28</v>
      </c>
      <c r="M158" s="68">
        <f>'[32]Flujo de Vencimientos'!M$14</f>
        <v>5687.5599999999995</v>
      </c>
      <c r="N158" s="73">
        <f t="shared" si="29"/>
        <v>224162.61999999997</v>
      </c>
      <c r="O158" s="74">
        <f t="shared" si="30"/>
        <v>34636.22</v>
      </c>
      <c r="P158" s="67">
        <f>'[32]Flujo de Vencimientos'!N$14</f>
        <v>38289.92</v>
      </c>
      <c r="Q158" s="68">
        <f>'[32]Flujo de Vencimientos'!O$14</f>
        <v>5853.64</v>
      </c>
      <c r="R158" s="67">
        <f>'[32]Flujo de Vencimientos'!P$14</f>
        <v>38560.57</v>
      </c>
      <c r="S158" s="68">
        <f>'[32]Flujo de Vencimientos'!Q$14</f>
        <v>5829.530000000001</v>
      </c>
      <c r="T158" s="67">
        <f>'[32]Flujo de Vencimientos'!R$14</f>
        <v>38833.02</v>
      </c>
      <c r="U158" s="68">
        <f>'[32]Flujo de Vencimientos'!S$14</f>
        <v>5617.509999999999</v>
      </c>
      <c r="V158" s="67">
        <f>'[32]Flujo de Vencimientos'!T$14</f>
        <v>39107.51</v>
      </c>
      <c r="W158" s="68">
        <f>'[32]Flujo de Vencimientos'!U$14</f>
        <v>5779.34</v>
      </c>
      <c r="X158" s="67">
        <f>'[32]Flujo de Vencimientos'!V$14</f>
        <v>39383.83</v>
      </c>
      <c r="Y158" s="68">
        <f>'[32]Flujo de Vencimientos'!W$14</f>
        <v>5567.71</v>
      </c>
      <c r="Z158" s="67">
        <f>'[32]Flujo de Vencimientos'!X$14</f>
        <v>39662.21</v>
      </c>
      <c r="AA158" s="68">
        <f>'[32]Flujo de Vencimientos'!Y$14</f>
        <v>5726.55</v>
      </c>
      <c r="AB158" s="73">
        <f t="shared" si="32"/>
        <v>457999.68000000005</v>
      </c>
      <c r="AC158" s="74">
        <f t="shared" si="33"/>
        <v>69010.5</v>
      </c>
    </row>
    <row r="159" spans="1:29" ht="12.75">
      <c r="A159" s="34" t="s">
        <v>84</v>
      </c>
      <c r="B159" s="67">
        <f>'[18]Flujo Vencimientos'!B$14</f>
        <v>34242.24</v>
      </c>
      <c r="C159" s="68">
        <f>'[18]Flujo Vencimientos'!C$14</f>
        <v>5583.85</v>
      </c>
      <c r="D159" s="67">
        <f>'[18]Flujo Vencimientos'!D$14</f>
        <v>34484.23</v>
      </c>
      <c r="E159" s="68">
        <f>'[18]Flujo Vencimientos'!E$14</f>
        <v>5026.19</v>
      </c>
      <c r="F159" s="67">
        <f>'[18]Flujo Vencimientos'!F$14</f>
        <v>34727.93</v>
      </c>
      <c r="G159" s="68">
        <f>'[18]Flujo Vencimientos'!G$14</f>
        <v>5545.08</v>
      </c>
      <c r="H159" s="67">
        <f>'[18]Flujo Vencimientos'!H$14</f>
        <v>34973.35</v>
      </c>
      <c r="I159" s="68">
        <f>'[18]Flujo Vencimientos'!I$14</f>
        <v>5346.59</v>
      </c>
      <c r="J159" s="67">
        <f>'[18]Flujo Vencimientos'!J$14</f>
        <v>35220.51</v>
      </c>
      <c r="K159" s="68">
        <f>'[18]Flujo Vencimientos'!K$14</f>
        <v>5504.0199999999995</v>
      </c>
      <c r="L159" s="67">
        <f>'[18]Flujo Vencimientos'!L$14</f>
        <v>35469.41</v>
      </c>
      <c r="M159" s="68">
        <f>'[18]Flujo Vencimientos'!M$14</f>
        <v>5305.84</v>
      </c>
      <c r="N159" s="83">
        <f t="shared" si="29"/>
        <v>209117.67</v>
      </c>
      <c r="O159" s="74">
        <f t="shared" si="30"/>
        <v>32311.57</v>
      </c>
      <c r="P159" s="67">
        <f>'[18]Flujo Vencimientos'!N$14</f>
        <v>35720.08</v>
      </c>
      <c r="Q159" s="68">
        <f>'[18]Flujo Vencimientos'!O$14</f>
        <v>5460.75</v>
      </c>
      <c r="R159" s="67">
        <f>'[18]Flujo Vencimientos'!P$14</f>
        <v>35972.51</v>
      </c>
      <c r="S159" s="68">
        <f>'[18]Flujo Vencimientos'!Q$14</f>
        <v>5438.2699999999995</v>
      </c>
      <c r="T159" s="67">
        <f>'[18]Flujo Vencimientos'!R$14</f>
        <v>36226.73</v>
      </c>
      <c r="U159" s="68">
        <f>'[18]Flujo Vencimientos'!S$14</f>
        <v>5240.450000000001</v>
      </c>
      <c r="V159" s="67">
        <f>'[18]Flujo Vencimientos'!T$14</f>
        <v>36482.74</v>
      </c>
      <c r="W159" s="68">
        <f>'[18]Flujo Vencimientos'!U$14</f>
        <v>5391.47</v>
      </c>
      <c r="X159" s="67">
        <f>'[18]Flujo Vencimientos'!V$14</f>
        <v>36740.57</v>
      </c>
      <c r="Y159" s="68">
        <f>'[18]Flujo Vencimientos'!W$14</f>
        <v>5194.009999999999</v>
      </c>
      <c r="Z159" s="67">
        <f>'[18]Flujo Vencimientos'!X$14</f>
        <v>37000.21</v>
      </c>
      <c r="AA159" s="68">
        <f>'[18]Flujo Vencimientos'!Y$14</f>
        <v>5342.240000000001</v>
      </c>
      <c r="AB159" s="73">
        <f t="shared" si="32"/>
        <v>427260.51</v>
      </c>
      <c r="AC159" s="74">
        <f t="shared" si="33"/>
        <v>64378.759999999995</v>
      </c>
    </row>
    <row r="160" spans="1:29" ht="12.75">
      <c r="A160" s="34" t="s">
        <v>105</v>
      </c>
      <c r="B160" s="67">
        <f>'[11]Flujo Vencimientos'!B$14</f>
        <v>54762.689999999995</v>
      </c>
      <c r="C160" s="68">
        <f>'[11]Flujo Vencimientos'!C$14</f>
        <v>8930.08</v>
      </c>
      <c r="D160" s="67">
        <f>'[11]Flujo Vencimientos'!D$14</f>
        <v>55149.7</v>
      </c>
      <c r="E160" s="68">
        <f>'[11]Flujo Vencimientos'!E$14</f>
        <v>8038.27</v>
      </c>
      <c r="F160" s="67">
        <f>'[11]Flujo Vencimientos'!F$14</f>
        <v>55539.439999999995</v>
      </c>
      <c r="G160" s="68">
        <f>'[11]Flujo Vencimientos'!G$14</f>
        <v>8868.07</v>
      </c>
      <c r="H160" s="67">
        <f>'[11]Flujo Vencimientos'!H$14</f>
        <v>55931.939999999995</v>
      </c>
      <c r="I160" s="68">
        <f>'[11]Flujo Vencimientos'!I$14</f>
        <v>8550.67</v>
      </c>
      <c r="J160" s="67">
        <f>'[11]Flujo Vencimientos'!J$14</f>
        <v>56327.21</v>
      </c>
      <c r="K160" s="68">
        <f>'[11]Flujo Vencimientos'!K$14</f>
        <v>8802.45</v>
      </c>
      <c r="L160" s="67">
        <f>'[11]Flujo Vencimientos'!L$14</f>
        <v>56725.27</v>
      </c>
      <c r="M160" s="68">
        <f>'[11]Flujo Vencimientos'!M$14</f>
        <v>8485.470000000001</v>
      </c>
      <c r="N160" s="73">
        <f t="shared" si="29"/>
        <v>334436.25</v>
      </c>
      <c r="O160" s="84">
        <f t="shared" si="30"/>
        <v>51675.009999999995</v>
      </c>
      <c r="P160" s="67">
        <f>'[11]Flujo Vencimientos'!N$14</f>
        <v>57126.15</v>
      </c>
      <c r="Q160" s="68">
        <f>'[11]Flujo Vencimientos'!O$14</f>
        <v>8733.24</v>
      </c>
      <c r="R160" s="67">
        <f>'[11]Flujo Vencimientos'!P$14</f>
        <v>57529.86</v>
      </c>
      <c r="S160" s="68">
        <f>'[11]Flujo Vencimientos'!Q$14</f>
        <v>8697.24</v>
      </c>
      <c r="T160" s="67">
        <f>'[11]Flujo Vencimientos'!R$14</f>
        <v>57936.42</v>
      </c>
      <c r="U160" s="68">
        <f>'[11]Flujo Vencimientos'!S$14</f>
        <v>8380.91</v>
      </c>
      <c r="V160" s="67">
        <f>'[11]Flujo Vencimientos'!T$14</f>
        <v>58345.86</v>
      </c>
      <c r="W160" s="68">
        <f>'[11]Flujo Vencimientos'!U$14</f>
        <v>8622.4</v>
      </c>
      <c r="X160" s="67">
        <f>'[11]Flujo Vencimientos'!V$14</f>
        <v>58758.189999999995</v>
      </c>
      <c r="Y160" s="68">
        <f>'[11]Flujo Vencimientos'!W$14</f>
        <v>8306.619999999999</v>
      </c>
      <c r="Z160" s="67">
        <f>'[11]Flujo Vencimientos'!X$14</f>
        <v>59173.43</v>
      </c>
      <c r="AA160" s="68">
        <f>'[11]Flujo Vencimientos'!Y$14</f>
        <v>8543.68</v>
      </c>
      <c r="AB160" s="73">
        <f t="shared" si="32"/>
        <v>683306.16</v>
      </c>
      <c r="AC160" s="74">
        <f t="shared" si="33"/>
        <v>102959.09999999998</v>
      </c>
    </row>
    <row r="161" spans="1:29" ht="12.75">
      <c r="A161" s="34" t="s">
        <v>4</v>
      </c>
      <c r="B161" s="67">
        <f>'[9]Flujo de Vencimientos'!B$14</f>
        <v>41061.07</v>
      </c>
      <c r="C161" s="68">
        <f>'[9]Flujo de Vencimientos'!C$14</f>
        <v>6695.76</v>
      </c>
      <c r="D161" s="67">
        <f>'[9]Flujo de Vencimientos'!D$14</f>
        <v>41351.299999999996</v>
      </c>
      <c r="E161" s="68">
        <f>'[9]Flujo de Vencimientos'!E$14</f>
        <v>6027.09</v>
      </c>
      <c r="F161" s="67">
        <f>'[9]Flujo de Vencimientos'!F$14</f>
        <v>41643.47</v>
      </c>
      <c r="G161" s="68">
        <f>'[9]Flujo de Vencimientos'!G$14</f>
        <v>6649.280000000001</v>
      </c>
      <c r="H161" s="67">
        <f>'[9]Flujo de Vencimientos'!H$14</f>
        <v>41937.82</v>
      </c>
      <c r="I161" s="68">
        <f>'[9]Flujo de Vencimientos'!I$14</f>
        <v>6411.31</v>
      </c>
      <c r="J161" s="67">
        <f>'[9]Flujo de Vencimientos'!J$14</f>
        <v>42234.14</v>
      </c>
      <c r="K161" s="68">
        <f>'[9]Flujo de Vencimientos'!K$14</f>
        <v>6600.08</v>
      </c>
      <c r="L161" s="67">
        <f>'[9]Flujo de Vencimientos'!L$14</f>
        <v>42532.67</v>
      </c>
      <c r="M161" s="68">
        <f>'[9]Flujo de Vencimientos'!M$14</f>
        <v>6362.4</v>
      </c>
      <c r="N161" s="73">
        <f t="shared" si="29"/>
        <v>250760.46999999997</v>
      </c>
      <c r="O161" s="84">
        <f t="shared" si="30"/>
        <v>38745.920000000006</v>
      </c>
      <c r="P161" s="67">
        <f>'[9]Flujo de Vencimientos'!N$14</f>
        <v>42833.19</v>
      </c>
      <c r="Q161" s="68">
        <f>'[9]Flujo de Vencimientos'!O$14</f>
        <v>6548.2</v>
      </c>
      <c r="R161" s="67">
        <f>'[9]Flujo de Vencimientos'!P$14</f>
        <v>43135.95</v>
      </c>
      <c r="S161" s="68">
        <f>'[9]Flujo de Vencimientos'!Q$14</f>
        <v>6521.19</v>
      </c>
      <c r="T161" s="67">
        <f>'[9]Flujo de Vencimientos'!R$14</f>
        <v>43440.73</v>
      </c>
      <c r="U161" s="68">
        <f>'[9]Flujo de Vencimientos'!S$14</f>
        <v>6284.01</v>
      </c>
      <c r="V161" s="67">
        <f>'[9]Flujo de Vencimientos'!T$14</f>
        <v>43747.78</v>
      </c>
      <c r="W161" s="68">
        <f>'[9]Flujo de Vencimientos'!U$14</f>
        <v>6465.09</v>
      </c>
      <c r="X161" s="67">
        <f>'[9]Flujo de Vencimientos'!V$14</f>
        <v>44056.89</v>
      </c>
      <c r="Y161" s="68">
        <f>'[9]Flujo de Vencimientos'!W$14</f>
        <v>6228.34</v>
      </c>
      <c r="Z161" s="67">
        <f>'[9]Flujo de Vencimientos'!X$14</f>
        <v>44368.299999999996</v>
      </c>
      <c r="AA161" s="68">
        <f>'[9]Flujo de Vencimientos'!Y$14</f>
        <v>6406.02</v>
      </c>
      <c r="AB161" s="73">
        <f t="shared" si="32"/>
        <v>512343.31</v>
      </c>
      <c r="AC161" s="74">
        <f t="shared" si="33"/>
        <v>77198.77</v>
      </c>
    </row>
    <row r="162" spans="1:29" ht="12.75">
      <c r="A162" s="34" t="s">
        <v>10</v>
      </c>
      <c r="B162" s="67">
        <f>'[7]Flujo vencimientos'!B$14</f>
        <v>12508.33</v>
      </c>
      <c r="C162" s="68">
        <f>'[7]Flujo vencimientos'!C$14</f>
        <v>2039.6900000000003</v>
      </c>
      <c r="D162" s="67">
        <f>'[7]Flujo vencimientos'!D$14</f>
        <v>12596.669999999998</v>
      </c>
      <c r="E162" s="68">
        <f>'[7]Flujo vencimientos'!E$14</f>
        <v>1836.0099999999998</v>
      </c>
      <c r="F162" s="67">
        <f>'[7]Flujo vencimientos'!F$14</f>
        <v>12685.74</v>
      </c>
      <c r="G162" s="68">
        <f>'[7]Flujo vencimientos'!G$14</f>
        <v>2025.54</v>
      </c>
      <c r="H162" s="67">
        <f>'[7]Flujo vencimientos'!H$14</f>
        <v>12775.34</v>
      </c>
      <c r="I162" s="68">
        <f>'[7]Flujo vencimientos'!I$14</f>
        <v>1953.04</v>
      </c>
      <c r="J162" s="67">
        <f>'[7]Flujo vencimientos'!J$14</f>
        <v>12865.679999999998</v>
      </c>
      <c r="K162" s="68">
        <f>'[7]Flujo vencimientos'!K$14</f>
        <v>2010.5900000000001</v>
      </c>
      <c r="L162" s="67">
        <f>'[7]Flujo vencimientos'!L$14</f>
        <v>12956.54</v>
      </c>
      <c r="M162" s="68">
        <f>'[7]Flujo vencimientos'!M$14</f>
        <v>1938.18</v>
      </c>
      <c r="N162" s="73">
        <f t="shared" si="29"/>
        <v>76388.3</v>
      </c>
      <c r="O162" s="84">
        <f t="shared" si="30"/>
        <v>11803.05</v>
      </c>
      <c r="P162" s="67">
        <f>'[7]Flujo vencimientos'!N$14</f>
        <v>13048.16</v>
      </c>
      <c r="Q162" s="68">
        <f>'[7]Flujo vencimientos'!O$14</f>
        <v>1994.74</v>
      </c>
      <c r="R162" s="67">
        <f>'[7]Flujo vencimientos'!P$14</f>
        <v>13140.32</v>
      </c>
      <c r="S162" s="68">
        <f>'[7]Flujo vencimientos'!Q$14</f>
        <v>1986.53</v>
      </c>
      <c r="T162" s="67">
        <f>'[7]Flujo vencimientos'!R$14</f>
        <v>13233.24</v>
      </c>
      <c r="U162" s="68">
        <f>'[7]Flujo vencimientos'!S$14</f>
        <v>1914.29</v>
      </c>
      <c r="V162" s="67">
        <f>'[7]Flujo vencimientos'!T$14</f>
        <v>13326.7</v>
      </c>
      <c r="W162" s="68">
        <f>'[7]Flujo vencimientos'!U$14</f>
        <v>1969.45</v>
      </c>
      <c r="X162" s="67">
        <f>'[7]Flujo vencimientos'!V$14</f>
        <v>13420.939999999999</v>
      </c>
      <c r="Y162" s="68">
        <f>'[7]Flujo vencimientos'!W$14</f>
        <v>1897.3</v>
      </c>
      <c r="Z162" s="67">
        <f>'[7]Flujo vencimientos'!X$14</f>
        <v>13515.720000000001</v>
      </c>
      <c r="AA162" s="68">
        <f>'[7]Flujo vencimientos'!Y$14</f>
        <v>1951.44</v>
      </c>
      <c r="AB162" s="73">
        <f t="shared" si="32"/>
        <v>156073.38</v>
      </c>
      <c r="AC162" s="74">
        <f t="shared" si="33"/>
        <v>23516.8</v>
      </c>
    </row>
    <row r="163" spans="1:29" ht="13.5" thickBot="1">
      <c r="A163" s="34" t="s">
        <v>11</v>
      </c>
      <c r="B163" s="67">
        <f>'[3]Flujo Vencimientos'!B$14</f>
        <v>152645.93</v>
      </c>
      <c r="C163" s="68">
        <f>'[3]Flujo Vencimientos'!C$14</f>
        <v>24891.73</v>
      </c>
      <c r="D163" s="67">
        <f>'[3]Flujo Vencimientos'!D$14</f>
        <v>153724.63</v>
      </c>
      <c r="E163" s="68">
        <f>'[3]Flujo Vencimientos'!E$14</f>
        <v>22405.879999999997</v>
      </c>
      <c r="F163" s="67">
        <f>'[3]Flujo Vencimientos'!F$14</f>
        <v>154811.05</v>
      </c>
      <c r="G163" s="68">
        <f>'[3]Flujo Vencimientos'!G$14</f>
        <v>24718.879999999997</v>
      </c>
      <c r="H163" s="67">
        <f>'[3]Flujo Vencimientos'!H$14</f>
        <v>155905.05</v>
      </c>
      <c r="I163" s="68">
        <f>'[3]Flujo Vencimientos'!I$14</f>
        <v>23834.27</v>
      </c>
      <c r="J163" s="67">
        <f>'[3]Flujo Vencimientos'!J$14</f>
        <v>157006.88</v>
      </c>
      <c r="K163" s="68">
        <f>'[3]Flujo Vencimientos'!K$14</f>
        <v>24536.08</v>
      </c>
      <c r="L163" s="67">
        <f>'[3]Flujo Vencimientos'!L$14</f>
        <v>158116.4</v>
      </c>
      <c r="M163" s="68">
        <f>'[3]Flujo Vencimientos'!M$14</f>
        <v>23652.47</v>
      </c>
      <c r="N163" s="73">
        <f t="shared" si="29"/>
        <v>932209.94</v>
      </c>
      <c r="O163" s="84">
        <f t="shared" si="30"/>
        <v>144039.31</v>
      </c>
      <c r="P163" s="67">
        <f>'[3]Flujo Vencimientos'!N$14</f>
        <v>159233.86</v>
      </c>
      <c r="Q163" s="68">
        <f>'[3]Flujo Vencimientos'!O$14</f>
        <v>24343.16</v>
      </c>
      <c r="R163" s="67">
        <f>'[3]Flujo Vencimientos'!P$14</f>
        <v>160359.11</v>
      </c>
      <c r="S163" s="68">
        <f>'[3]Flujo Vencimientos'!Q$14</f>
        <v>24242.79</v>
      </c>
      <c r="T163" s="67">
        <f>'[3]Flujo Vencimientos'!R$14</f>
        <v>161492.43</v>
      </c>
      <c r="U163" s="68">
        <f>'[3]Flujo Vencimientos'!S$14</f>
        <v>23361.120000000003</v>
      </c>
      <c r="V163" s="67">
        <f>'[3]Flujo Vencimientos'!T$14</f>
        <v>162633.63999999998</v>
      </c>
      <c r="W163" s="68">
        <f>'[3]Flujo Vencimientos'!U$14</f>
        <v>24034.12</v>
      </c>
      <c r="X163" s="67">
        <f>'[3]Flujo Vencimientos'!V$14</f>
        <v>163783.02</v>
      </c>
      <c r="Y163" s="68">
        <f>'[3]Flujo Vencimientos'!W$14</f>
        <v>23153.969999999998</v>
      </c>
      <c r="Z163" s="67">
        <f>'[3]Flujo Vencimientos'!X$14</f>
        <v>164940.41999999998</v>
      </c>
      <c r="AA163" s="68">
        <f>'[3]Flujo Vencimientos'!Y$14</f>
        <v>23814.7</v>
      </c>
      <c r="AB163" s="73">
        <f t="shared" si="32"/>
        <v>1904652.4199999995</v>
      </c>
      <c r="AC163" s="74">
        <f t="shared" si="33"/>
        <v>286989.17</v>
      </c>
    </row>
    <row r="164" spans="1:29" s="42" customFormat="1" ht="12.75" thickBot="1">
      <c r="A164" s="43" t="s">
        <v>120</v>
      </c>
      <c r="B164" s="71">
        <f aca="true" t="shared" si="34" ref="B164:M164">B151</f>
        <v>708585.49</v>
      </c>
      <c r="C164" s="72">
        <f t="shared" si="34"/>
        <v>115547.87999999999</v>
      </c>
      <c r="D164" s="71">
        <f t="shared" si="34"/>
        <v>713592.85</v>
      </c>
      <c r="E164" s="72">
        <f t="shared" si="34"/>
        <v>104008.54999999999</v>
      </c>
      <c r="F164" s="71">
        <f t="shared" si="34"/>
        <v>718636</v>
      </c>
      <c r="G164" s="72">
        <f t="shared" si="34"/>
        <v>114745.49999999997</v>
      </c>
      <c r="H164" s="71">
        <f t="shared" si="34"/>
        <v>723714.4099999999</v>
      </c>
      <c r="I164" s="72">
        <f t="shared" si="34"/>
        <v>110639.12</v>
      </c>
      <c r="J164" s="71">
        <f t="shared" si="34"/>
        <v>728829.1</v>
      </c>
      <c r="K164" s="72">
        <f t="shared" si="34"/>
        <v>113896.93000000001</v>
      </c>
      <c r="L164" s="71">
        <f t="shared" si="34"/>
        <v>733979.5200000001</v>
      </c>
      <c r="M164" s="72">
        <f t="shared" si="34"/>
        <v>109795.31999999998</v>
      </c>
      <c r="N164" s="597">
        <f t="shared" si="29"/>
        <v>4327337.37</v>
      </c>
      <c r="O164" s="598">
        <f t="shared" si="30"/>
        <v>668633.2999999999</v>
      </c>
      <c r="P164" s="71">
        <f>P151</f>
        <v>739166.79</v>
      </c>
      <c r="Q164" s="72">
        <f>Q151</f>
        <v>113001.39000000001</v>
      </c>
      <c r="R164" s="71">
        <f>R151</f>
        <v>744390.2499999999</v>
      </c>
      <c r="S164" s="72">
        <f aca="true" t="shared" si="35" ref="S164:AA164">S151</f>
        <v>112535.52000000002</v>
      </c>
      <c r="T164" s="71">
        <f t="shared" si="35"/>
        <v>749651.0800000001</v>
      </c>
      <c r="U164" s="72">
        <f t="shared" si="35"/>
        <v>108442.63</v>
      </c>
      <c r="V164" s="71">
        <f t="shared" si="35"/>
        <v>754948.63</v>
      </c>
      <c r="W164" s="72">
        <f t="shared" si="35"/>
        <v>111566.90999999999</v>
      </c>
      <c r="X164" s="71">
        <f t="shared" si="35"/>
        <v>760284.1</v>
      </c>
      <c r="Y164" s="72">
        <f t="shared" si="35"/>
        <v>107481.23999999999</v>
      </c>
      <c r="Z164" s="71">
        <f t="shared" si="35"/>
        <v>765656.76</v>
      </c>
      <c r="AA164" s="72">
        <f t="shared" si="35"/>
        <v>110548.18000000002</v>
      </c>
      <c r="AB164" s="597">
        <f t="shared" si="32"/>
        <v>8841434.98</v>
      </c>
      <c r="AC164" s="598">
        <f t="shared" si="33"/>
        <v>1332209.17</v>
      </c>
    </row>
    <row r="165" spans="1:29" ht="13.5" thickBot="1">
      <c r="A165" s="42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1"/>
      <c r="AC165" s="42"/>
    </row>
    <row r="166" spans="1:29" s="42" customFormat="1" ht="12.75" thickBot="1">
      <c r="A166" s="12" t="s">
        <v>94</v>
      </c>
      <c r="B166" s="39"/>
      <c r="C166" s="39"/>
      <c r="D166" s="39"/>
      <c r="E166" s="39"/>
      <c r="F166" s="39"/>
      <c r="G166" s="39"/>
      <c r="H166" s="78" t="s">
        <v>132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78" t="str">
        <f>H166</f>
        <v>EN PESOS</v>
      </c>
      <c r="W166" s="39"/>
      <c r="X166" s="39"/>
      <c r="Y166" s="39"/>
      <c r="Z166" s="39"/>
      <c r="AA166" s="39"/>
      <c r="AB166" s="39"/>
      <c r="AC166" s="38"/>
    </row>
    <row r="167" spans="1:29" ht="12.75">
      <c r="A167" s="90" t="s">
        <v>125</v>
      </c>
      <c r="B167" s="32">
        <f>SUM(B168:B184)</f>
        <v>1491857.87</v>
      </c>
      <c r="C167" s="31">
        <f>SUM(C168:C184)</f>
        <v>92394.85999999999</v>
      </c>
      <c r="D167" s="32">
        <f aca="true" t="shared" si="36" ref="D167:M167">SUM(D168:D184)</f>
        <v>1506776.4399999997</v>
      </c>
      <c r="E167" s="31">
        <f t="shared" si="36"/>
        <v>77476.29999999999</v>
      </c>
      <c r="F167" s="32">
        <f t="shared" si="36"/>
        <v>1521844.1900000002</v>
      </c>
      <c r="G167" s="31">
        <f t="shared" si="36"/>
        <v>62408.560000000005</v>
      </c>
      <c r="H167" s="32">
        <f t="shared" si="36"/>
        <v>1537062.6400000001</v>
      </c>
      <c r="I167" s="31">
        <f t="shared" si="36"/>
        <v>47190.08</v>
      </c>
      <c r="J167" s="32">
        <f t="shared" si="36"/>
        <v>1552433.28</v>
      </c>
      <c r="K167" s="31">
        <f t="shared" si="36"/>
        <v>31819.48</v>
      </c>
      <c r="L167" s="32">
        <f t="shared" si="36"/>
        <v>1567957.58</v>
      </c>
      <c r="M167" s="31">
        <f t="shared" si="36"/>
        <v>16295.139999999998</v>
      </c>
      <c r="N167" s="32">
        <f aca="true" t="shared" si="37" ref="N167:N206">B167+D167+F167+H167+J167+L167</f>
        <v>9177932</v>
      </c>
      <c r="O167" s="31">
        <f aca="true" t="shared" si="38" ref="O167:O206">C167+E167+G167+I167+K167+M167</f>
        <v>327584.42</v>
      </c>
      <c r="P167" s="32">
        <f aca="true" t="shared" si="39" ref="P167:AA167">SUM(P168:P184)</f>
        <v>61555.71</v>
      </c>
      <c r="Q167" s="31">
        <f t="shared" si="39"/>
        <v>615.56</v>
      </c>
      <c r="R167" s="32">
        <f t="shared" si="39"/>
        <v>0</v>
      </c>
      <c r="S167" s="31">
        <f t="shared" si="39"/>
        <v>0</v>
      </c>
      <c r="T167" s="32">
        <f t="shared" si="39"/>
        <v>0</v>
      </c>
      <c r="U167" s="31">
        <f t="shared" si="39"/>
        <v>0</v>
      </c>
      <c r="V167" s="32">
        <f t="shared" si="39"/>
        <v>0</v>
      </c>
      <c r="W167" s="31">
        <f t="shared" si="39"/>
        <v>0</v>
      </c>
      <c r="X167" s="32">
        <f t="shared" si="39"/>
        <v>0</v>
      </c>
      <c r="Y167" s="31">
        <f t="shared" si="39"/>
        <v>0</v>
      </c>
      <c r="Z167" s="32">
        <f t="shared" si="39"/>
        <v>0</v>
      </c>
      <c r="AA167" s="31">
        <f t="shared" si="39"/>
        <v>0</v>
      </c>
      <c r="AB167" s="32">
        <f>+N167+P167+R167+T167+V167+X167+Z167</f>
        <v>9239487.71</v>
      </c>
      <c r="AC167" s="31">
        <f>O167+Q167+S167+U167+W167+Y167+AA167</f>
        <v>328199.98</v>
      </c>
    </row>
    <row r="168" spans="1:29" ht="12.75">
      <c r="A168" s="34" t="s">
        <v>1</v>
      </c>
      <c r="B168" s="81">
        <f>'[23]Flujos Vencimientos'!B$14</f>
        <v>152284.6</v>
      </c>
      <c r="C168" s="82">
        <f>'[23]Flujos Vencimientos'!C$14</f>
        <v>9368.57</v>
      </c>
      <c r="D168" s="81">
        <f>'[23]Flujos Vencimientos'!D$14</f>
        <v>153807.45</v>
      </c>
      <c r="E168" s="82">
        <f>'[23]Flujos Vencimientos'!E$14</f>
        <v>7845.73</v>
      </c>
      <c r="F168" s="81">
        <f>'[23]Flujos Vencimientos'!F$14</f>
        <v>155345.52</v>
      </c>
      <c r="G168" s="82">
        <f>'[23]Flujos Vencimientos'!G$14</f>
        <v>6307.65</v>
      </c>
      <c r="H168" s="81">
        <f>'[23]Flujos Vencimientos'!H$14</f>
        <v>156898.98</v>
      </c>
      <c r="I168" s="82">
        <f>'[23]Flujos Vencimientos'!I$14</f>
        <v>4754.2</v>
      </c>
      <c r="J168" s="81">
        <f>'[23]Flujos Vencimientos'!J$14</f>
        <v>158467.97</v>
      </c>
      <c r="K168" s="82">
        <f>'[23]Flujos Vencimientos'!K$14</f>
        <v>3185.21</v>
      </c>
      <c r="L168" s="81">
        <f>'[23]Flujos Vencimientos'!L$14</f>
        <v>160052.65</v>
      </c>
      <c r="M168" s="82">
        <f>'[23]Flujos Vencimientos'!M$14</f>
        <v>1600.53</v>
      </c>
      <c r="N168" s="51">
        <f t="shared" si="37"/>
        <v>936857.17</v>
      </c>
      <c r="O168" s="50">
        <f t="shared" si="38"/>
        <v>33061.89</v>
      </c>
      <c r="P168" s="88"/>
      <c r="Q168" s="89"/>
      <c r="R168" s="88"/>
      <c r="S168" s="89"/>
      <c r="T168" s="88"/>
      <c r="U168" s="89"/>
      <c r="V168" s="88"/>
      <c r="W168" s="89"/>
      <c r="X168" s="88"/>
      <c r="Y168" s="89"/>
      <c r="Z168" s="88"/>
      <c r="AA168" s="89"/>
      <c r="AB168" s="51">
        <f aca="true" t="shared" si="40" ref="AB168:AB206">+N168+P168+R168+T168+V168+X168+Z168</f>
        <v>936857.17</v>
      </c>
      <c r="AC168" s="50">
        <f aca="true" t="shared" si="41" ref="AC168:AC206">O168+Q168+S168+U168+W168+Y168+AA168</f>
        <v>33061.89</v>
      </c>
    </row>
    <row r="169" spans="1:29" ht="12.75">
      <c r="A169" s="34" t="s">
        <v>21</v>
      </c>
      <c r="B169" s="81">
        <f>'[27]Flujos Vencimientos'!B14</f>
        <v>94075.42</v>
      </c>
      <c r="C169" s="82">
        <f>'[27]Flujos Vencimientos'!C14</f>
        <v>5787.53</v>
      </c>
      <c r="D169" s="81">
        <f>'[27]Flujos Vencimientos'!D14</f>
        <v>95016.17</v>
      </c>
      <c r="E169" s="82">
        <f>'[27]Flujos Vencimientos'!E14</f>
        <v>4846.78</v>
      </c>
      <c r="F169" s="81">
        <f>'[27]Flujos Vencimientos'!F14</f>
        <v>95966.33</v>
      </c>
      <c r="G169" s="82">
        <f>'[27]Flujos Vencimientos'!G14</f>
        <v>3896.62</v>
      </c>
      <c r="H169" s="81">
        <f>'[27]Flujos Vencimientos'!H14</f>
        <v>96926</v>
      </c>
      <c r="I169" s="82">
        <f>'[27]Flujos Vencimientos'!I14</f>
        <v>2936.95</v>
      </c>
      <c r="J169" s="81">
        <f>'[27]Flujos Vencimientos'!J14</f>
        <v>97895.26</v>
      </c>
      <c r="K169" s="82">
        <f>'[27]Flujos Vencimientos'!K14</f>
        <v>1967.69</v>
      </c>
      <c r="L169" s="81">
        <f>'[27]Flujos Vencimientos'!L14</f>
        <v>98874.21</v>
      </c>
      <c r="M169" s="82">
        <f>'[27]Flujos Vencimientos'!M14</f>
        <v>988.74</v>
      </c>
      <c r="N169" s="51">
        <f t="shared" si="37"/>
        <v>578753.39</v>
      </c>
      <c r="O169" s="50">
        <f t="shared" si="38"/>
        <v>20424.31</v>
      </c>
      <c r="P169" s="88"/>
      <c r="Q169" s="89"/>
      <c r="R169" s="88"/>
      <c r="S169" s="89"/>
      <c r="T169" s="88"/>
      <c r="U169" s="89"/>
      <c r="V169" s="88"/>
      <c r="W169" s="89"/>
      <c r="X169" s="88"/>
      <c r="Y169" s="89"/>
      <c r="Z169" s="88"/>
      <c r="AA169" s="89"/>
      <c r="AB169" s="51">
        <f t="shared" si="40"/>
        <v>578753.39</v>
      </c>
      <c r="AC169" s="50">
        <f t="shared" si="41"/>
        <v>20424.31</v>
      </c>
    </row>
    <row r="170" spans="1:29" ht="12.75">
      <c r="A170" s="34" t="s">
        <v>22</v>
      </c>
      <c r="B170" s="81">
        <f>'[42]Flujos Vencimientos'!B$14</f>
        <v>36121.46</v>
      </c>
      <c r="C170" s="82">
        <f>'[42]Flujos Vencimientos'!C$14</f>
        <v>2222.2</v>
      </c>
      <c r="D170" s="81">
        <f>'[42]Flujos Vencimientos'!D$14</f>
        <v>36482.68</v>
      </c>
      <c r="E170" s="82">
        <f>'[42]Flujos Vencimientos'!E$14</f>
        <v>1860.98</v>
      </c>
      <c r="F170" s="81">
        <f>'[42]Flujos Vencimientos'!F$14</f>
        <v>36847.5</v>
      </c>
      <c r="G170" s="82">
        <f>'[42]Flujos Vencimientos'!G$14</f>
        <v>1496.16</v>
      </c>
      <c r="H170" s="81">
        <f>'[42]Flujos Vencimientos'!H$14</f>
        <v>37215.98</v>
      </c>
      <c r="I170" s="82">
        <f>'[42]Flujos Vencimientos'!I$14</f>
        <v>1127.68</v>
      </c>
      <c r="J170" s="81">
        <f>'[42]Flujos Vencimientos'!J$14</f>
        <v>37588.14</v>
      </c>
      <c r="K170" s="82">
        <f>'[42]Flujos Vencimientos'!K$14</f>
        <v>755.52</v>
      </c>
      <c r="L170" s="81">
        <f>'[42]Flujos Vencimientos'!L$14</f>
        <v>37964.02</v>
      </c>
      <c r="M170" s="82">
        <f>'[42]Flujos Vencimientos'!M$14</f>
        <v>379.64</v>
      </c>
      <c r="N170" s="51">
        <f t="shared" si="37"/>
        <v>222219.78</v>
      </c>
      <c r="O170" s="50">
        <f t="shared" si="38"/>
        <v>7842.180000000001</v>
      </c>
      <c r="P170" s="88"/>
      <c r="Q170" s="89"/>
      <c r="R170" s="88"/>
      <c r="S170" s="89"/>
      <c r="T170" s="88"/>
      <c r="U170" s="89"/>
      <c r="V170" s="88"/>
      <c r="W170" s="89"/>
      <c r="X170" s="88"/>
      <c r="Y170" s="89"/>
      <c r="Z170" s="88"/>
      <c r="AA170" s="89"/>
      <c r="AB170" s="51">
        <f t="shared" si="40"/>
        <v>222219.78</v>
      </c>
      <c r="AC170" s="50">
        <f t="shared" si="41"/>
        <v>7842.180000000001</v>
      </c>
    </row>
    <row r="171" spans="1:29" ht="12.75">
      <c r="A171" s="34" t="s">
        <v>126</v>
      </c>
      <c r="B171" s="81">
        <f>'[40]Flujos Vencimientos'!B$14</f>
        <v>180079.95</v>
      </c>
      <c r="C171" s="82">
        <f>'[40]Flujos Vencimientos'!C$14</f>
        <v>11078.55</v>
      </c>
      <c r="D171" s="81">
        <f>'[40]Flujos Vencimientos'!D$14</f>
        <v>181880.75</v>
      </c>
      <c r="E171" s="82">
        <f>'[40]Flujos Vencimientos'!E$14</f>
        <v>9277.75</v>
      </c>
      <c r="F171" s="81">
        <f>'[40]Flujos Vencimientos'!F$14</f>
        <v>183699.56</v>
      </c>
      <c r="G171" s="82">
        <f>'[40]Flujos Vencimientos'!G$14</f>
        <v>7458.94</v>
      </c>
      <c r="H171" s="81">
        <f>'[40]Flujos Vencimientos'!H$14</f>
        <v>185536.56</v>
      </c>
      <c r="I171" s="82">
        <f>'[40]Flujos Vencimientos'!I$14</f>
        <v>5621.94</v>
      </c>
      <c r="J171" s="81">
        <f>'[40]Flujos Vencimientos'!J$14</f>
        <v>187391.93</v>
      </c>
      <c r="K171" s="82">
        <f>'[40]Flujos Vencimientos'!K$14</f>
        <v>3766.58</v>
      </c>
      <c r="L171" s="81">
        <f>'[40]Flujos Vencimientos'!L$14</f>
        <v>189265.84</v>
      </c>
      <c r="M171" s="82">
        <f>'[40]Flujos Vencimientos'!M$14</f>
        <v>1892.66</v>
      </c>
      <c r="N171" s="51">
        <f t="shared" si="37"/>
        <v>1107854.59</v>
      </c>
      <c r="O171" s="50">
        <f t="shared" si="38"/>
        <v>39096.420000000006</v>
      </c>
      <c r="P171" s="88"/>
      <c r="Q171" s="89"/>
      <c r="R171" s="88"/>
      <c r="S171" s="89"/>
      <c r="T171" s="88"/>
      <c r="U171" s="89"/>
      <c r="V171" s="88"/>
      <c r="W171" s="89"/>
      <c r="X171" s="88"/>
      <c r="Y171" s="89"/>
      <c r="Z171" s="88"/>
      <c r="AA171" s="89"/>
      <c r="AB171" s="51">
        <f t="shared" si="40"/>
        <v>1107854.59</v>
      </c>
      <c r="AC171" s="50">
        <f t="shared" si="41"/>
        <v>39096.420000000006</v>
      </c>
    </row>
    <row r="172" spans="1:29" ht="12.75">
      <c r="A172" s="34" t="s">
        <v>127</v>
      </c>
      <c r="B172" s="81">
        <f>'[37]Flujos Vencimientos'!B$14</f>
        <v>23138.93</v>
      </c>
      <c r="C172" s="82">
        <f>'[37]Flujos Vencimientos'!C$14</f>
        <v>1423.51</v>
      </c>
      <c r="D172" s="81">
        <f>'[37]Flujos Vencimientos'!D$14</f>
        <v>23370.31</v>
      </c>
      <c r="E172" s="82">
        <f>'[37]Flujos Vencimientos'!E$14</f>
        <v>1192.12</v>
      </c>
      <c r="F172" s="81">
        <f>'[37]Flujos Vencimientos'!F$14</f>
        <v>23604.02</v>
      </c>
      <c r="G172" s="82">
        <f>'[37]Flujos Vencimientos'!G$14</f>
        <v>958.42</v>
      </c>
      <c r="H172" s="81">
        <f>'[37]Flujos Vencimientos'!H$14</f>
        <v>23840.06</v>
      </c>
      <c r="I172" s="82">
        <f>'[37]Flujos Vencimientos'!I$14</f>
        <v>722.38</v>
      </c>
      <c r="J172" s="81">
        <f>'[37]Flujos Vencimientos'!J$14</f>
        <v>24078.46</v>
      </c>
      <c r="K172" s="82">
        <f>'[37]Flujos Vencimientos'!K$14</f>
        <v>483.98</v>
      </c>
      <c r="L172" s="81">
        <f>'[37]Flujos Vencimientos'!L$14</f>
        <v>24319.24</v>
      </c>
      <c r="M172" s="82">
        <f>'[37]Flujos Vencimientos'!M$14</f>
        <v>243.19</v>
      </c>
      <c r="N172" s="51">
        <f t="shared" si="37"/>
        <v>142351.02</v>
      </c>
      <c r="O172" s="50">
        <f t="shared" si="38"/>
        <v>5023.599999999999</v>
      </c>
      <c r="P172" s="88"/>
      <c r="Q172" s="89"/>
      <c r="R172" s="88"/>
      <c r="S172" s="89"/>
      <c r="T172" s="88"/>
      <c r="U172" s="89"/>
      <c r="V172" s="88"/>
      <c r="W172" s="89"/>
      <c r="X172" s="88"/>
      <c r="Y172" s="89"/>
      <c r="Z172" s="88"/>
      <c r="AA172" s="89"/>
      <c r="AB172" s="51">
        <f t="shared" si="40"/>
        <v>142351.02</v>
      </c>
      <c r="AC172" s="50">
        <f t="shared" si="41"/>
        <v>5023.599999999999</v>
      </c>
    </row>
    <row r="173" spans="1:29" ht="12.75">
      <c r="A173" s="34" t="s">
        <v>14</v>
      </c>
      <c r="B173" s="81">
        <f>'[35]Flujos Vencimientos'!B$14</f>
        <v>26327.8</v>
      </c>
      <c r="C173" s="82">
        <f>'[35]Flujos Vencimientos'!C$14</f>
        <v>1619.69</v>
      </c>
      <c r="D173" s="81">
        <f>'[35]Flujos Vencimientos'!D$14</f>
        <v>26591.08</v>
      </c>
      <c r="E173" s="82">
        <f>'[35]Flujos Vencimientos'!E$14</f>
        <v>1356.41</v>
      </c>
      <c r="F173" s="81">
        <f>'[35]Flujos Vencimientos'!F$14</f>
        <v>26856.99</v>
      </c>
      <c r="G173" s="82">
        <f>'[35]Flujos Vencimientos'!G$14</f>
        <v>1090.5</v>
      </c>
      <c r="H173" s="81">
        <f>'[35]Flujos Vencimientos'!H$14</f>
        <v>27125.55</v>
      </c>
      <c r="I173" s="82">
        <f>'[35]Flujos Vencimientos'!I$14</f>
        <v>821.93</v>
      </c>
      <c r="J173" s="81">
        <f>'[35]Flujos Vencimientos'!J$14</f>
        <v>27396.81</v>
      </c>
      <c r="K173" s="82">
        <f>'[35]Flujos Vencimientos'!K$14</f>
        <v>550.68</v>
      </c>
      <c r="L173" s="81">
        <f>'[35]Flujos Vencimientos'!L$14</f>
        <v>27670.78</v>
      </c>
      <c r="M173" s="82">
        <f>'[35]Flujos Vencimientos'!M$14</f>
        <v>276.71</v>
      </c>
      <c r="N173" s="51">
        <f t="shared" si="37"/>
        <v>161969.01</v>
      </c>
      <c r="O173" s="50">
        <f t="shared" si="38"/>
        <v>5715.920000000001</v>
      </c>
      <c r="P173" s="88"/>
      <c r="Q173" s="89"/>
      <c r="R173" s="88"/>
      <c r="S173" s="89"/>
      <c r="T173" s="88"/>
      <c r="U173" s="89"/>
      <c r="V173" s="88"/>
      <c r="W173" s="89"/>
      <c r="X173" s="88"/>
      <c r="Y173" s="89"/>
      <c r="Z173" s="88"/>
      <c r="AA173" s="89"/>
      <c r="AB173" s="51">
        <f t="shared" si="40"/>
        <v>161969.01</v>
      </c>
      <c r="AC173" s="50">
        <f t="shared" si="41"/>
        <v>5715.920000000001</v>
      </c>
    </row>
    <row r="174" spans="1:29" ht="12.75">
      <c r="A174" s="34" t="s">
        <v>13</v>
      </c>
      <c r="B174" s="81">
        <f>'[33]Flujos Vencimientos'!B$14</f>
        <v>137320.29</v>
      </c>
      <c r="C174" s="82">
        <f>'[33]Flujos Vencimientos'!C$14</f>
        <v>8447.96</v>
      </c>
      <c r="D174" s="81">
        <f>'[33]Flujos Vencimientos'!D$14</f>
        <v>138693.49</v>
      </c>
      <c r="E174" s="82">
        <f>'[33]Flujos Vencimientos'!E$14</f>
        <v>7074.76</v>
      </c>
      <c r="F174" s="81">
        <f>'[33]Flujos Vencimientos'!F$14</f>
        <v>140080.43</v>
      </c>
      <c r="G174" s="82">
        <f>'[33]Flujos Vencimientos'!G$14</f>
        <v>5687.83</v>
      </c>
      <c r="H174" s="81">
        <f>'[33]Flujos Vencimientos'!H$14</f>
        <v>141481.23</v>
      </c>
      <c r="I174" s="82">
        <f>'[33]Flujos Vencimientos'!I$14</f>
        <v>4287.02</v>
      </c>
      <c r="J174" s="81">
        <f>'[33]Flujos Vencimientos'!J$14</f>
        <v>142896.04</v>
      </c>
      <c r="K174" s="82">
        <f>'[33]Flujos Vencimientos'!K$14</f>
        <v>2872.21</v>
      </c>
      <c r="L174" s="81">
        <f>'[33]Flujos Vencimientos'!L$14</f>
        <v>144325</v>
      </c>
      <c r="M174" s="82">
        <f>'[33]Flujos Vencimientos'!M$14</f>
        <v>1443.25</v>
      </c>
      <c r="N174" s="51">
        <f t="shared" si="37"/>
        <v>844796.4800000001</v>
      </c>
      <c r="O174" s="50">
        <f t="shared" si="38"/>
        <v>29813.03</v>
      </c>
      <c r="P174" s="88"/>
      <c r="Q174" s="89"/>
      <c r="R174" s="88"/>
      <c r="S174" s="89"/>
      <c r="T174" s="88"/>
      <c r="U174" s="89"/>
      <c r="V174" s="88"/>
      <c r="W174" s="89"/>
      <c r="X174" s="88"/>
      <c r="Y174" s="89"/>
      <c r="Z174" s="88"/>
      <c r="AA174" s="89"/>
      <c r="AB174" s="51">
        <f t="shared" si="40"/>
        <v>844796.4800000001</v>
      </c>
      <c r="AC174" s="50">
        <f t="shared" si="41"/>
        <v>29813.03</v>
      </c>
    </row>
    <row r="175" spans="1:29" ht="12.75">
      <c r="A175" s="34" t="s">
        <v>9</v>
      </c>
      <c r="B175" s="81">
        <f>'[31]Flujos Vencimientos'!B$14</f>
        <v>45324.78</v>
      </c>
      <c r="C175" s="82">
        <f>'[31]Flujos Vencimientos'!C$14</f>
        <v>2788.39</v>
      </c>
      <c r="D175" s="81">
        <f>'[31]Flujos Vencimientos'!D$14</f>
        <v>45778.03</v>
      </c>
      <c r="E175" s="82">
        <f>'[31]Flujos Vencimientos'!E$14</f>
        <v>2335.14</v>
      </c>
      <c r="F175" s="81">
        <f>'[31]Flujos Vencimientos'!F$14</f>
        <v>46235.81</v>
      </c>
      <c r="G175" s="82">
        <f>'[31]Flujos Vencimientos'!G$14</f>
        <v>1877.36</v>
      </c>
      <c r="H175" s="81">
        <f>'[31]Flujos Vencimientos'!H$14</f>
        <v>46698.17</v>
      </c>
      <c r="I175" s="82">
        <f>'[31]Flujos Vencimientos'!I$14</f>
        <v>1415</v>
      </c>
      <c r="J175" s="81">
        <f>'[31]Flujos Vencimientos'!J$14</f>
        <v>47165.14</v>
      </c>
      <c r="K175" s="82">
        <f>'[31]Flujos Vencimientos'!K$14</f>
        <v>948.02</v>
      </c>
      <c r="L175" s="81">
        <f>'[31]Flujos Vencimientos'!L$14</f>
        <v>47636.8</v>
      </c>
      <c r="M175" s="82">
        <f>'[31]Flujos Vencimientos'!M$14</f>
        <v>476.37</v>
      </c>
      <c r="N175" s="51">
        <f t="shared" si="37"/>
        <v>278838.73</v>
      </c>
      <c r="O175" s="50">
        <f t="shared" si="38"/>
        <v>9840.28</v>
      </c>
      <c r="P175" s="88"/>
      <c r="Q175" s="89"/>
      <c r="R175" s="88"/>
      <c r="S175" s="89"/>
      <c r="T175" s="88"/>
      <c r="U175" s="89"/>
      <c r="V175" s="88"/>
      <c r="W175" s="89"/>
      <c r="X175" s="88"/>
      <c r="Y175" s="89"/>
      <c r="Z175" s="88"/>
      <c r="AA175" s="89"/>
      <c r="AB175" s="51">
        <f t="shared" si="40"/>
        <v>278838.73</v>
      </c>
      <c r="AC175" s="50">
        <f t="shared" si="41"/>
        <v>9840.28</v>
      </c>
    </row>
    <row r="176" spans="1:29" ht="12.75">
      <c r="A176" s="34" t="s">
        <v>128</v>
      </c>
      <c r="B176" s="81">
        <f>'[29]Flujos Vencimientos'!B$14</f>
        <v>135974.34</v>
      </c>
      <c r="C176" s="82">
        <f>'[29]Flujos Vencimientos'!C$14</f>
        <v>8365.16</v>
      </c>
      <c r="D176" s="81">
        <f>'[29]Flujos Vencimientos'!D$14</f>
        <v>137334.08</v>
      </c>
      <c r="E176" s="82">
        <f>'[29]Flujos Vencimientos'!E$14</f>
        <v>7005.42</v>
      </c>
      <c r="F176" s="81">
        <f>'[29]Flujos Vencimientos'!F$14</f>
        <v>138707.42</v>
      </c>
      <c r="G176" s="82">
        <f>'[29]Flujos Vencimientos'!G$14</f>
        <v>5632.08</v>
      </c>
      <c r="H176" s="81">
        <f>'[29]Flujos Vencimientos'!H$14</f>
        <v>140094.49</v>
      </c>
      <c r="I176" s="82">
        <f>'[29]Flujos Vencimientos'!I$14</f>
        <v>4245</v>
      </c>
      <c r="J176" s="81">
        <f>'[29]Flujos Vencimientos'!J$14</f>
        <v>141495.44</v>
      </c>
      <c r="K176" s="82">
        <f>'[29]Flujos Vencimientos'!K$14</f>
        <v>2844.06</v>
      </c>
      <c r="L176" s="81">
        <f>'[29]Flujos Vencimientos'!L$14</f>
        <v>142910.39</v>
      </c>
      <c r="M176" s="82">
        <f>'[29]Flujos Vencimientos'!M$14</f>
        <v>1429.1</v>
      </c>
      <c r="N176" s="51">
        <f t="shared" si="37"/>
        <v>836516.16</v>
      </c>
      <c r="O176" s="50">
        <f t="shared" si="38"/>
        <v>29520.82</v>
      </c>
      <c r="P176" s="88"/>
      <c r="Q176" s="89"/>
      <c r="R176" s="88"/>
      <c r="S176" s="89"/>
      <c r="T176" s="88"/>
      <c r="U176" s="89"/>
      <c r="V176" s="88"/>
      <c r="W176" s="89"/>
      <c r="X176" s="88"/>
      <c r="Y176" s="89"/>
      <c r="Z176" s="88"/>
      <c r="AA176" s="89"/>
      <c r="AB176" s="51">
        <f t="shared" si="40"/>
        <v>836516.16</v>
      </c>
      <c r="AC176" s="50">
        <f t="shared" si="41"/>
        <v>29520.82</v>
      </c>
    </row>
    <row r="177" spans="1:29" ht="12.75">
      <c r="A177" s="34" t="s">
        <v>84</v>
      </c>
      <c r="B177" s="81">
        <f>'[20]Flujos Vencimientos'!B$14</f>
        <v>150128.75</v>
      </c>
      <c r="C177" s="82">
        <f>'[20]Flujos Vencimientos'!C$14</f>
        <v>9235.94</v>
      </c>
      <c r="D177" s="81">
        <f>'[20]Flujos Vencimientos'!D$14</f>
        <v>151630.04</v>
      </c>
      <c r="E177" s="82">
        <f>'[20]Flujos Vencimientos'!E$14</f>
        <v>7734.66</v>
      </c>
      <c r="F177" s="81">
        <f>'[20]Flujos Vencimientos'!F$14</f>
        <v>153146.33</v>
      </c>
      <c r="G177" s="82">
        <f>'[20]Flujos Vencimientos'!G$14</f>
        <v>6218.36</v>
      </c>
      <c r="H177" s="81">
        <f>'[20]Flujos Vencimientos'!H$14</f>
        <v>154677.8</v>
      </c>
      <c r="I177" s="82">
        <f>'[20]Flujos Vencimientos'!I$14</f>
        <v>4686.89</v>
      </c>
      <c r="J177" s="81">
        <f>'[20]Flujos Vencimientos'!J$14</f>
        <v>156224.58</v>
      </c>
      <c r="K177" s="82">
        <f>'[20]Flujos Vencimientos'!K$14</f>
        <v>3140.11</v>
      </c>
      <c r="L177" s="81">
        <f>'[20]Flujos Vencimientos'!L$14</f>
        <v>157786.82</v>
      </c>
      <c r="M177" s="82">
        <f>'[20]Flujos Vencimientos'!M$14</f>
        <v>1577.87</v>
      </c>
      <c r="N177" s="51">
        <f t="shared" si="37"/>
        <v>923594.3199999998</v>
      </c>
      <c r="O177" s="50">
        <f t="shared" si="38"/>
        <v>32593.829999999998</v>
      </c>
      <c r="P177" s="88"/>
      <c r="Q177" s="89"/>
      <c r="R177" s="88"/>
      <c r="S177" s="89"/>
      <c r="T177" s="88"/>
      <c r="U177" s="89"/>
      <c r="V177" s="88"/>
      <c r="W177" s="89"/>
      <c r="X177" s="88"/>
      <c r="Y177" s="89"/>
      <c r="Z177" s="88"/>
      <c r="AA177" s="89"/>
      <c r="AB177" s="51">
        <f t="shared" si="40"/>
        <v>923594.3199999998</v>
      </c>
      <c r="AC177" s="50">
        <f t="shared" si="41"/>
        <v>32593.829999999998</v>
      </c>
    </row>
    <row r="178" spans="1:29" ht="12.75">
      <c r="A178" s="34" t="s">
        <v>5</v>
      </c>
      <c r="B178" s="81">
        <f>'[17]Flujos Vencimientos'!B$14</f>
        <v>110289.52</v>
      </c>
      <c r="C178" s="82">
        <f>'[17]Flujos Vencimientos'!C$14</f>
        <v>6785.03</v>
      </c>
      <c r="D178" s="81">
        <f>'[17]Flujos Vencimientos'!D$14</f>
        <v>111392.41</v>
      </c>
      <c r="E178" s="82">
        <f>'[17]Flujos Vencimientos'!E$14</f>
        <v>5682.13</v>
      </c>
      <c r="F178" s="81">
        <f>'[17]Flujos Vencimientos'!F$14</f>
        <v>112506.34</v>
      </c>
      <c r="G178" s="82">
        <f>'[17]Flujos Vencimientos'!G$14</f>
        <v>4568.21</v>
      </c>
      <c r="H178" s="81">
        <f>'[17]Flujos Vencimientos'!H$14</f>
        <v>113631.4</v>
      </c>
      <c r="I178" s="82">
        <f>'[17]Flujos Vencimientos'!I$14</f>
        <v>3443.15</v>
      </c>
      <c r="J178" s="81">
        <f>'[17]Flujos Vencimientos'!J$14</f>
        <v>114767.72</v>
      </c>
      <c r="K178" s="82">
        <f>'[17]Flujos Vencimientos'!K$14</f>
        <v>2306.83</v>
      </c>
      <c r="L178" s="81">
        <f>'[17]Flujos Vencimientos'!L$14</f>
        <v>115915.39</v>
      </c>
      <c r="M178" s="82">
        <f>'[17]Flujos Vencimientos'!M$14</f>
        <v>1159.15</v>
      </c>
      <c r="N178" s="51">
        <f t="shared" si="37"/>
        <v>678502.78</v>
      </c>
      <c r="O178" s="50">
        <f t="shared" si="38"/>
        <v>23944.5</v>
      </c>
      <c r="P178" s="88"/>
      <c r="Q178" s="89"/>
      <c r="R178" s="88"/>
      <c r="S178" s="89"/>
      <c r="T178" s="88"/>
      <c r="U178" s="89"/>
      <c r="V178" s="88"/>
      <c r="W178" s="89"/>
      <c r="X178" s="88"/>
      <c r="Y178" s="89"/>
      <c r="Z178" s="88"/>
      <c r="AA178" s="89"/>
      <c r="AB178" s="51">
        <f t="shared" si="40"/>
        <v>678502.78</v>
      </c>
      <c r="AC178" s="50">
        <f t="shared" si="41"/>
        <v>23944.5</v>
      </c>
    </row>
    <row r="179" spans="1:29" ht="12.75">
      <c r="A179" s="34" t="s">
        <v>7</v>
      </c>
      <c r="B179" s="81">
        <f>'[16]Flujos Vencimientos'!B$14</f>
        <v>57045.42</v>
      </c>
      <c r="C179" s="82">
        <f>'[16]Flujos Vencimientos'!C$14</f>
        <v>3509.44</v>
      </c>
      <c r="D179" s="81">
        <f>'[16]Flujos Vencimientos'!D$14</f>
        <v>57615.87</v>
      </c>
      <c r="E179" s="82">
        <f>'[16]Flujos Vencimientos'!E$14</f>
        <v>2938.99</v>
      </c>
      <c r="F179" s="81">
        <f>'[16]Flujos Vencimientos'!F$14</f>
        <v>58192.03</v>
      </c>
      <c r="G179" s="82">
        <f>'[16]Flujos Vencimientos'!G$14</f>
        <v>2362.83</v>
      </c>
      <c r="H179" s="81">
        <f>'[16]Flujos Vencimientos'!H$14</f>
        <v>58773.95</v>
      </c>
      <c r="I179" s="82">
        <f>'[16]Flujos Vencimientos'!I$14</f>
        <v>1780.91</v>
      </c>
      <c r="J179" s="81">
        <f>'[16]Flujos Vencimientos'!J$14</f>
        <v>59361.69</v>
      </c>
      <c r="K179" s="82">
        <f>'[16]Flujos Vencimientos'!K$14</f>
        <v>1193.17</v>
      </c>
      <c r="L179" s="81">
        <f>'[16]Flujos Vencimientos'!L$14</f>
        <v>59955.31</v>
      </c>
      <c r="M179" s="82">
        <f>'[16]Flujos Vencimientos'!M$14</f>
        <v>599.55</v>
      </c>
      <c r="N179" s="51">
        <f t="shared" si="37"/>
        <v>350944.27</v>
      </c>
      <c r="O179" s="50">
        <f t="shared" si="38"/>
        <v>12384.89</v>
      </c>
      <c r="P179" s="88"/>
      <c r="Q179" s="89"/>
      <c r="R179" s="88"/>
      <c r="S179" s="89"/>
      <c r="T179" s="88"/>
      <c r="U179" s="89"/>
      <c r="V179" s="88"/>
      <c r="W179" s="89"/>
      <c r="X179" s="88"/>
      <c r="Y179" s="89"/>
      <c r="Z179" s="88"/>
      <c r="AA179" s="89"/>
      <c r="AB179" s="51">
        <f t="shared" si="40"/>
        <v>350944.27</v>
      </c>
      <c r="AC179" s="50">
        <f t="shared" si="41"/>
        <v>12384.89</v>
      </c>
    </row>
    <row r="180" spans="1:29" ht="12.75">
      <c r="A180" s="34" t="s">
        <v>105</v>
      </c>
      <c r="B180" s="401">
        <f>'[12]Flujo Vencimientos'!B14</f>
        <v>106565</v>
      </c>
      <c r="C180" s="82">
        <f>'[12]Flujo Vencimientos'!C14</f>
        <v>6555.89</v>
      </c>
      <c r="D180" s="401">
        <f>'[12]Flujo Vencimientos'!D14</f>
        <v>107630.65</v>
      </c>
      <c r="E180" s="82">
        <f>'[12]Flujo Vencimientos'!E14</f>
        <v>5490.24</v>
      </c>
      <c r="F180" s="401">
        <f>'[12]Flujo Vencimientos'!F14</f>
        <v>108706.95</v>
      </c>
      <c r="G180" s="82">
        <f>'[12]Flujo Vencimientos'!G14</f>
        <v>4413.94</v>
      </c>
      <c r="H180" s="401">
        <f>'[12]Flujo Vencimientos'!H14</f>
        <v>109794.02</v>
      </c>
      <c r="I180" s="82">
        <f>'[12]Flujo Vencimientos'!I14</f>
        <v>3326.87</v>
      </c>
      <c r="J180" s="401">
        <f>'[12]Flujo Vencimientos'!J14</f>
        <v>110891.96</v>
      </c>
      <c r="K180" s="82">
        <f>'[12]Flujo Vencimientos'!K14</f>
        <v>2228.93</v>
      </c>
      <c r="L180" s="401">
        <f>'[12]Flujo Vencimientos'!L14</f>
        <v>112000.88</v>
      </c>
      <c r="M180" s="82">
        <f>'[12]Flujo Vencimientos'!M14</f>
        <v>1120.01</v>
      </c>
      <c r="N180" s="51">
        <f t="shared" si="37"/>
        <v>655589.46</v>
      </c>
      <c r="O180" s="50">
        <f t="shared" si="38"/>
        <v>23135.879999999997</v>
      </c>
      <c r="P180" s="88"/>
      <c r="Q180" s="89"/>
      <c r="R180" s="88"/>
      <c r="S180" s="89"/>
      <c r="T180" s="88"/>
      <c r="U180" s="89"/>
      <c r="V180" s="88"/>
      <c r="W180" s="89"/>
      <c r="X180" s="88"/>
      <c r="Y180" s="89"/>
      <c r="Z180" s="88"/>
      <c r="AA180" s="89"/>
      <c r="AB180" s="51">
        <f t="shared" si="40"/>
        <v>655589.46</v>
      </c>
      <c r="AC180" s="50">
        <f t="shared" si="41"/>
        <v>23135.879999999997</v>
      </c>
    </row>
    <row r="181" spans="1:29" ht="12.75">
      <c r="A181" s="34" t="s">
        <v>4</v>
      </c>
      <c r="B181" s="401">
        <f>'[15]Flujos Vencimientos'!B14</f>
        <v>69686.85</v>
      </c>
      <c r="C181" s="82">
        <f>'[15]Flujos Vencimientos'!C14</f>
        <v>4287.15</v>
      </c>
      <c r="D181" s="401">
        <f>'[15]Flujos Vencimientos'!D14</f>
        <v>70383.72</v>
      </c>
      <c r="E181" s="82">
        <f>'[15]Flujos Vencimientos'!E14</f>
        <v>3590.28</v>
      </c>
      <c r="F181" s="401">
        <f>'[15]Flujos Vencimientos'!F14</f>
        <v>71087.55</v>
      </c>
      <c r="G181" s="82">
        <f>'[15]Flujos Vencimientos'!G14</f>
        <v>2886.44</v>
      </c>
      <c r="H181" s="401">
        <f>'[15]Flujos Vencimientos'!H14</f>
        <v>71798.43</v>
      </c>
      <c r="I181" s="82">
        <f>'[15]Flujos Vencimientos'!I14</f>
        <v>2175.56</v>
      </c>
      <c r="J181" s="401">
        <f>'[15]Flujos Vencimientos'!J14</f>
        <v>72516.41</v>
      </c>
      <c r="K181" s="82">
        <f>'[15]Flujos Vencimientos'!K14</f>
        <v>1457.58</v>
      </c>
      <c r="L181" s="401">
        <f>'[15]Flujos Vencimientos'!L14</f>
        <v>73241.58</v>
      </c>
      <c r="M181" s="82">
        <f>'[15]Flujos Vencimientos'!M14</f>
        <v>732.42</v>
      </c>
      <c r="N181" s="51">
        <f t="shared" si="37"/>
        <v>428714.54</v>
      </c>
      <c r="O181" s="50">
        <f t="shared" si="38"/>
        <v>15129.43</v>
      </c>
      <c r="P181" s="88"/>
      <c r="Q181" s="89"/>
      <c r="R181" s="88"/>
      <c r="S181" s="89"/>
      <c r="T181" s="88"/>
      <c r="U181" s="89"/>
      <c r="V181" s="88"/>
      <c r="W181" s="89"/>
      <c r="X181" s="88"/>
      <c r="Y181" s="89"/>
      <c r="Z181" s="88"/>
      <c r="AA181" s="89"/>
      <c r="AB181" s="51">
        <f t="shared" si="40"/>
        <v>428714.54</v>
      </c>
      <c r="AC181" s="50">
        <f t="shared" si="41"/>
        <v>15129.43</v>
      </c>
    </row>
    <row r="182" spans="1:29" ht="12.75">
      <c r="A182" s="34" t="s">
        <v>10</v>
      </c>
      <c r="B182" s="81">
        <f>'[8]Flujos Vencimientos'!B$14</f>
        <v>57988.26</v>
      </c>
      <c r="C182" s="82">
        <f>'[8]Flujos Vencimientos'!C$14</f>
        <v>4183</v>
      </c>
      <c r="D182" s="81">
        <f>'[8]Flujos Vencimientos'!D$14</f>
        <v>58568.15</v>
      </c>
      <c r="E182" s="82">
        <f>'[8]Flujos Vencimientos'!E$14</f>
        <v>3603.12</v>
      </c>
      <c r="F182" s="81">
        <f>'[8]Flujos Vencimientos'!F$14</f>
        <v>59153.83</v>
      </c>
      <c r="G182" s="82">
        <f>'[8]Flujos Vencimientos'!G$14</f>
        <v>3017.44</v>
      </c>
      <c r="H182" s="81">
        <f>'[8]Flujos Vencimientos'!H$14</f>
        <v>59745.37</v>
      </c>
      <c r="I182" s="82">
        <f>'[8]Flujos Vencimientos'!I$14</f>
        <v>2425.9</v>
      </c>
      <c r="J182" s="81">
        <f>'[8]Flujos Vencimientos'!J$14</f>
        <v>60342.82</v>
      </c>
      <c r="K182" s="82">
        <f>'[8]Flujos Vencimientos'!K$14</f>
        <v>1828.45</v>
      </c>
      <c r="L182" s="81">
        <f>'[8]Flujos Vencimientos'!L$14</f>
        <v>60946.25</v>
      </c>
      <c r="M182" s="82">
        <f>'[8]Flujos Vencimientos'!M$14</f>
        <v>1225.02</v>
      </c>
      <c r="N182" s="51">
        <f t="shared" si="37"/>
        <v>356744.68</v>
      </c>
      <c r="O182" s="50">
        <f t="shared" si="38"/>
        <v>16282.93</v>
      </c>
      <c r="P182" s="81">
        <f>'[8]Flujos Vencimientos'!N$14</f>
        <v>61555.71</v>
      </c>
      <c r="Q182" s="82">
        <f>'[8]Flujos Vencimientos'!O$14</f>
        <v>615.56</v>
      </c>
      <c r="R182" s="88"/>
      <c r="S182" s="89"/>
      <c r="T182" s="88"/>
      <c r="U182" s="89"/>
      <c r="V182" s="88"/>
      <c r="W182" s="89"/>
      <c r="X182" s="88"/>
      <c r="Y182" s="89"/>
      <c r="Z182" s="88"/>
      <c r="AA182" s="89"/>
      <c r="AB182" s="51">
        <f t="shared" si="40"/>
        <v>418300.39</v>
      </c>
      <c r="AC182" s="50">
        <f t="shared" si="41"/>
        <v>16898.49</v>
      </c>
    </row>
    <row r="183" spans="1:29" ht="12.75">
      <c r="A183" s="34" t="s">
        <v>11</v>
      </c>
      <c r="B183" s="81">
        <f>'[4]Flujos Vencimientos'!B$14</f>
        <v>83969.48</v>
      </c>
      <c r="C183" s="82">
        <f>'[4]Flujos Vencimientos'!C$14</f>
        <v>5165.81</v>
      </c>
      <c r="D183" s="81">
        <f>'[4]Flujos Vencimientos'!D$14</f>
        <v>84809.17</v>
      </c>
      <c r="E183" s="82">
        <f>'[4]Flujos Vencimientos'!E$14</f>
        <v>4326.12</v>
      </c>
      <c r="F183" s="81">
        <f>'[4]Flujos Vencimientos'!F$14</f>
        <v>85657.26</v>
      </c>
      <c r="G183" s="82">
        <f>'[4]Flujos Vencimientos'!G$14</f>
        <v>3478.03</v>
      </c>
      <c r="H183" s="81">
        <f>'[4]Flujos Vencimientos'!H$14</f>
        <v>86513.83</v>
      </c>
      <c r="I183" s="82">
        <f>'[4]Flujos Vencimientos'!I$14</f>
        <v>2621.46</v>
      </c>
      <c r="J183" s="81">
        <f>'[4]Flujos Vencimientos'!J$14</f>
        <v>87378.98</v>
      </c>
      <c r="K183" s="82">
        <f>'[4]Flujos Vencimientos'!K$14</f>
        <v>1756.32</v>
      </c>
      <c r="L183" s="81">
        <f>'[4]Flujos Vencimientos'!L$14</f>
        <v>88252.76</v>
      </c>
      <c r="M183" s="82">
        <f>'[4]Flujos Vencimientos'!M$14</f>
        <v>882.53</v>
      </c>
      <c r="N183" s="51">
        <f t="shared" si="37"/>
        <v>516581.48</v>
      </c>
      <c r="O183" s="50">
        <f t="shared" si="38"/>
        <v>18230.27</v>
      </c>
      <c r="P183" s="88"/>
      <c r="Q183" s="89"/>
      <c r="R183" s="88"/>
      <c r="S183" s="89"/>
      <c r="T183" s="88"/>
      <c r="U183" s="89"/>
      <c r="V183" s="88"/>
      <c r="W183" s="89"/>
      <c r="X183" s="88"/>
      <c r="Y183" s="89"/>
      <c r="Z183" s="88"/>
      <c r="AA183" s="89"/>
      <c r="AB183" s="51">
        <f t="shared" si="40"/>
        <v>516581.48</v>
      </c>
      <c r="AC183" s="50">
        <f t="shared" si="41"/>
        <v>18230.27</v>
      </c>
    </row>
    <row r="184" spans="1:29" ht="12.75">
      <c r="A184" s="34" t="s">
        <v>6</v>
      </c>
      <c r="B184" s="81">
        <f>'[2]Flujos Vencimientos'!B$14</f>
        <v>25537.02</v>
      </c>
      <c r="C184" s="82">
        <f>'[2]Flujos Vencimientos'!C$14</f>
        <v>1571.04</v>
      </c>
      <c r="D184" s="81">
        <f>'[2]Flujos Vencimientos'!D$14</f>
        <v>25792.39</v>
      </c>
      <c r="E184" s="82">
        <f>'[2]Flujos Vencimientos'!E$14</f>
        <v>1315.67</v>
      </c>
      <c r="F184" s="81">
        <f>'[2]Flujos Vencimientos'!F$14</f>
        <v>26050.32</v>
      </c>
      <c r="G184" s="82">
        <f>'[2]Flujos Vencimientos'!G$14</f>
        <v>1057.75</v>
      </c>
      <c r="H184" s="81">
        <f>'[2]Flujos Vencimientos'!H$14</f>
        <v>26310.82</v>
      </c>
      <c r="I184" s="82">
        <f>'[2]Flujos Vencimientos'!I$14</f>
        <v>797.24</v>
      </c>
      <c r="J184" s="81">
        <f>'[2]Flujos Vencimientos'!J$14</f>
        <v>26573.93</v>
      </c>
      <c r="K184" s="82">
        <f>'[2]Flujos Vencimientos'!K$14</f>
        <v>534.14</v>
      </c>
      <c r="L184" s="81">
        <f>'[2]Flujos Vencimientos'!L$14</f>
        <v>26839.66</v>
      </c>
      <c r="M184" s="82">
        <f>'[2]Flujos Vencimientos'!M$14</f>
        <v>268.4</v>
      </c>
      <c r="N184" s="51">
        <f t="shared" si="37"/>
        <v>157104.14</v>
      </c>
      <c r="O184" s="50">
        <f t="shared" si="38"/>
        <v>5544.24</v>
      </c>
      <c r="P184" s="88"/>
      <c r="Q184" s="89"/>
      <c r="R184" s="88"/>
      <c r="S184" s="89"/>
      <c r="T184" s="88"/>
      <c r="U184" s="89"/>
      <c r="V184" s="88"/>
      <c r="W184" s="89"/>
      <c r="X184" s="88"/>
      <c r="Y184" s="89"/>
      <c r="Z184" s="88"/>
      <c r="AA184" s="89"/>
      <c r="AB184" s="51">
        <f t="shared" si="40"/>
        <v>157104.14</v>
      </c>
      <c r="AC184" s="50">
        <f t="shared" si="41"/>
        <v>5544.24</v>
      </c>
    </row>
    <row r="185" spans="1:29" ht="12.75">
      <c r="A185" s="33" t="s">
        <v>129</v>
      </c>
      <c r="B185" s="32">
        <f>SUM(B186:B191)</f>
        <v>632240.46</v>
      </c>
      <c r="C185" s="31">
        <f>SUM(C186:C191)</f>
        <v>253575.91</v>
      </c>
      <c r="D185" s="32">
        <f aca="true" t="shared" si="42" ref="D185:M185">SUM(D186:D191)</f>
        <v>563092.36</v>
      </c>
      <c r="E185" s="31">
        <f t="shared" si="42"/>
        <v>245382.76000000004</v>
      </c>
      <c r="F185" s="32">
        <f t="shared" si="42"/>
        <v>570630.14</v>
      </c>
      <c r="G185" s="31">
        <f t="shared" si="42"/>
        <v>237844.99000000002</v>
      </c>
      <c r="H185" s="32">
        <f t="shared" si="42"/>
        <v>578269.26</v>
      </c>
      <c r="I185" s="31">
        <f t="shared" si="42"/>
        <v>230205.87000000002</v>
      </c>
      <c r="J185" s="32">
        <f t="shared" si="42"/>
        <v>586011.11</v>
      </c>
      <c r="K185" s="31">
        <f t="shared" si="42"/>
        <v>222464.01000000004</v>
      </c>
      <c r="L185" s="32">
        <f t="shared" si="42"/>
        <v>593857.09</v>
      </c>
      <c r="M185" s="31">
        <f t="shared" si="42"/>
        <v>214618.04</v>
      </c>
      <c r="N185" s="32">
        <f t="shared" si="37"/>
        <v>3524100.4199999995</v>
      </c>
      <c r="O185" s="31">
        <f t="shared" si="38"/>
        <v>1404091.58</v>
      </c>
      <c r="P185" s="32">
        <f aca="true" t="shared" si="43" ref="P185:AA185">SUM(P186:P191)</f>
        <v>601808.58</v>
      </c>
      <c r="Q185" s="31">
        <f t="shared" si="43"/>
        <v>206666.55</v>
      </c>
      <c r="R185" s="32">
        <f t="shared" si="43"/>
        <v>609867.03</v>
      </c>
      <c r="S185" s="31">
        <f t="shared" si="43"/>
        <v>198608.11000000002</v>
      </c>
      <c r="T185" s="32">
        <f t="shared" si="43"/>
        <v>459827.22</v>
      </c>
      <c r="U185" s="31">
        <f t="shared" si="43"/>
        <v>190441.27</v>
      </c>
      <c r="V185" s="32">
        <f t="shared" si="43"/>
        <v>465994.5</v>
      </c>
      <c r="W185" s="31">
        <f t="shared" si="43"/>
        <v>184273.99000000002</v>
      </c>
      <c r="X185" s="32">
        <f t="shared" si="43"/>
        <v>472245.00000000006</v>
      </c>
      <c r="Y185" s="31">
        <f t="shared" si="43"/>
        <v>178023.49</v>
      </c>
      <c r="Z185" s="32">
        <f t="shared" si="43"/>
        <v>478579.83999999997</v>
      </c>
      <c r="AA185" s="31">
        <f t="shared" si="43"/>
        <v>171688.64</v>
      </c>
      <c r="AB185" s="32">
        <f t="shared" si="40"/>
        <v>6612422.589999999</v>
      </c>
      <c r="AC185" s="31">
        <f t="shared" si="41"/>
        <v>2533793.6300000004</v>
      </c>
    </row>
    <row r="186" spans="1:29" ht="12.75" hidden="1">
      <c r="A186" s="34" t="s">
        <v>21</v>
      </c>
      <c r="B186" s="81"/>
      <c r="C186" s="82"/>
      <c r="D186" s="81"/>
      <c r="E186" s="82"/>
      <c r="F186" s="81"/>
      <c r="G186" s="82"/>
      <c r="H186" s="81"/>
      <c r="I186" s="82"/>
      <c r="J186" s="81"/>
      <c r="K186" s="82"/>
      <c r="L186" s="81"/>
      <c r="M186" s="82"/>
      <c r="N186" s="51">
        <f t="shared" si="37"/>
        <v>0</v>
      </c>
      <c r="O186" s="50">
        <f t="shared" si="38"/>
        <v>0</v>
      </c>
      <c r="P186" s="81"/>
      <c r="Q186" s="82"/>
      <c r="R186" s="81"/>
      <c r="S186" s="82"/>
      <c r="T186" s="81"/>
      <c r="U186" s="82"/>
      <c r="V186" s="81"/>
      <c r="W186" s="82"/>
      <c r="X186" s="81"/>
      <c r="Y186" s="82"/>
      <c r="Z186" s="81"/>
      <c r="AA186" s="82"/>
      <c r="AB186" s="51">
        <f t="shared" si="40"/>
        <v>0</v>
      </c>
      <c r="AC186" s="50">
        <f t="shared" si="41"/>
        <v>0</v>
      </c>
    </row>
    <row r="187" spans="1:29" ht="12.75">
      <c r="A187" s="34" t="s">
        <v>126</v>
      </c>
      <c r="B187" s="545">
        <f>'[56]Flujos Vencimientos'!$B$14</f>
        <v>123359.42</v>
      </c>
      <c r="C187" s="546">
        <f>'[56]Flujos Vencimientos'!$C$14</f>
        <v>93851.63</v>
      </c>
      <c r="D187" s="545">
        <f>'[56]Flujos Vencimientos'!$D$14</f>
        <v>125209.81</v>
      </c>
      <c r="E187" s="546">
        <f>'[56]Flujos Vencimientos'!$E$14</f>
        <v>92001.24</v>
      </c>
      <c r="F187" s="545">
        <f>'[56]Flujos Vencimientos'!$F$14</f>
        <v>127087.96</v>
      </c>
      <c r="G187" s="546">
        <f>'[56]Flujos Vencimientos'!$G$14</f>
        <v>90123.09</v>
      </c>
      <c r="H187" s="545">
        <f>'[56]Flujos Vencimientos'!$H$14</f>
        <v>128994.27</v>
      </c>
      <c r="I187" s="546">
        <f>'[56]Flujos Vencimientos'!$I$14</f>
        <v>88216.77</v>
      </c>
      <c r="J187" s="545">
        <f>'[56]Flujos Vencimientos'!$J$14</f>
        <v>130929.19</v>
      </c>
      <c r="K187" s="546">
        <f>'[56]Flujos Vencimientos'!$K$14</f>
        <v>86281.86</v>
      </c>
      <c r="L187" s="545">
        <f>'[56]Flujos Vencimientos'!$L$14</f>
        <v>132893.13</v>
      </c>
      <c r="M187" s="546">
        <f>'[56]Flujos Vencimientos'!$M$14</f>
        <v>84317.92</v>
      </c>
      <c r="N187" s="547">
        <f t="shared" si="37"/>
        <v>768473.78</v>
      </c>
      <c r="O187" s="84">
        <f t="shared" si="38"/>
        <v>534792.51</v>
      </c>
      <c r="P187" s="545">
        <f>'[56]Flujos Vencimientos'!$N$14</f>
        <v>134886.52</v>
      </c>
      <c r="Q187" s="546">
        <f>'[56]Flujos Vencimientos'!$O$14</f>
        <v>82324.53</v>
      </c>
      <c r="R187" s="545">
        <f>'[56]Flujos Vencimientos'!$P$14</f>
        <v>136909.82</v>
      </c>
      <c r="S187" s="546">
        <f>'[56]Flujos Vencimientos'!$Q$14</f>
        <v>80301.23</v>
      </c>
      <c r="T187" s="545">
        <f>'[56]Flujos Vencimientos'!$R$14</f>
        <v>138963.47</v>
      </c>
      <c r="U187" s="546">
        <f>'[56]Flujos Vencimientos'!$S$14</f>
        <v>78247.58</v>
      </c>
      <c r="V187" s="545">
        <f>'[56]Flujos Vencimientos'!$T$14</f>
        <v>141047.92</v>
      </c>
      <c r="W187" s="546">
        <f>'[56]Flujos Vencimientos'!$U$14</f>
        <v>76163.13</v>
      </c>
      <c r="X187" s="545">
        <f>'[56]Flujos Vencimientos'!$V$14</f>
        <v>143163.64</v>
      </c>
      <c r="Y187" s="546">
        <f>'[56]Flujos Vencimientos'!$W$14</f>
        <v>74047.41</v>
      </c>
      <c r="Z187" s="545">
        <f>'[56]Flujos Vencimientos'!$X$14</f>
        <v>145311.09</v>
      </c>
      <c r="AA187" s="546">
        <f>'[56]Flujos Vencimientos'!$Y$14</f>
        <v>71899.96</v>
      </c>
      <c r="AB187" s="547">
        <f>+N187+P187+R187+T187+V187+X187+Z187</f>
        <v>1608756.24</v>
      </c>
      <c r="AC187" s="84">
        <f>O187+Q187+S187+U187+W187+Y187+AA187</f>
        <v>997776.35</v>
      </c>
    </row>
    <row r="188" spans="1:29" ht="12.75">
      <c r="A188" s="34" t="s">
        <v>23</v>
      </c>
      <c r="B188" s="81">
        <f>'[13]Flujos Vencimientos'!B$14</f>
        <v>76585.85</v>
      </c>
      <c r="C188" s="82">
        <f>'[13]Flujos Vencimientos'!C$14</f>
        <v>755.38</v>
      </c>
      <c r="D188" s="79"/>
      <c r="E188" s="80"/>
      <c r="F188" s="79"/>
      <c r="G188" s="80"/>
      <c r="H188" s="79"/>
      <c r="I188" s="80"/>
      <c r="J188" s="79"/>
      <c r="K188" s="80"/>
      <c r="L188" s="79"/>
      <c r="M188" s="80"/>
      <c r="N188" s="51">
        <f>B188+D188+F188+H188+J188+L188</f>
        <v>76585.85</v>
      </c>
      <c r="O188" s="50">
        <f>C188+E188+G188+I188+K188+M188</f>
        <v>755.38</v>
      </c>
      <c r="P188" s="79"/>
      <c r="Q188" s="80"/>
      <c r="R188" s="79"/>
      <c r="S188" s="80"/>
      <c r="T188" s="79"/>
      <c r="U188" s="80"/>
      <c r="V188" s="79"/>
      <c r="W188" s="80"/>
      <c r="X188" s="79"/>
      <c r="Y188" s="80"/>
      <c r="Z188" s="79"/>
      <c r="AA188" s="80"/>
      <c r="AB188" s="51">
        <f>+N188+P188+R188+T188+V188+X188+Z188</f>
        <v>76585.85</v>
      </c>
      <c r="AC188" s="50">
        <f>O188+Q188+S188+U188+W188+Y188+AA188</f>
        <v>755.38</v>
      </c>
    </row>
    <row r="189" spans="1:29" ht="12.75">
      <c r="A189" s="34" t="s">
        <v>105</v>
      </c>
      <c r="B189" s="81">
        <f>'[45]Flujos Vencimientos'!$B$14</f>
        <v>189913.55</v>
      </c>
      <c r="C189" s="82">
        <f>'[45]Flujos Vencimientos'!$C$14</f>
        <v>106086.04</v>
      </c>
      <c r="D189" s="81">
        <f>'[45]Flujos Vencimientos'!$D$14</f>
        <v>192336.92</v>
      </c>
      <c r="E189" s="82">
        <f>'[45]Flujos Vencimientos'!$E$14</f>
        <v>103662.66</v>
      </c>
      <c r="F189" s="81">
        <f>'[45]Flujos Vencimientos'!$F$14</f>
        <v>194791.22</v>
      </c>
      <c r="G189" s="82">
        <f>'[45]Flujos Vencimientos'!$G$14</f>
        <v>101208.36</v>
      </c>
      <c r="H189" s="81">
        <f>'[45]Flujos Vencimientos'!$H$14</f>
        <v>197276.84</v>
      </c>
      <c r="I189" s="82">
        <f>'[45]Flujos Vencimientos'!$I$14</f>
        <v>98722.75</v>
      </c>
      <c r="J189" s="81">
        <f>'[45]Flujos Vencimientos'!$J$14</f>
        <v>199794.17</v>
      </c>
      <c r="K189" s="82">
        <f>'[45]Flujos Vencimientos'!$K$14</f>
        <v>96205.41</v>
      </c>
      <c r="L189" s="81">
        <f>'[45]Flujos Vencimientos'!$L$14</f>
        <v>202343.63</v>
      </c>
      <c r="M189" s="82">
        <f>'[45]Flujos Vencimientos'!$M$14</f>
        <v>93655.95</v>
      </c>
      <c r="N189" s="51">
        <f t="shared" si="37"/>
        <v>1176456.33</v>
      </c>
      <c r="O189" s="50">
        <f t="shared" si="38"/>
        <v>599541.1699999999</v>
      </c>
      <c r="P189" s="81">
        <f>'[45]Flujos Vencimientos'!$N$14</f>
        <v>204925.62</v>
      </c>
      <c r="Q189" s="82">
        <f>'[45]Flujos Vencimientos'!$O$14</f>
        <v>91073.97</v>
      </c>
      <c r="R189" s="81">
        <f>'[45]Flujos Vencimientos'!$P$14</f>
        <v>207540.56</v>
      </c>
      <c r="S189" s="82">
        <f>'[45]Flujos Vencimientos'!$Q$14</f>
        <v>88459.03</v>
      </c>
      <c r="T189" s="81">
        <f>'[45]Flujos Vencimientos'!$R$14</f>
        <v>210188.86</v>
      </c>
      <c r="U189" s="82">
        <f>'[45]Flujos Vencimientos'!$S$14</f>
        <v>85810.73</v>
      </c>
      <c r="V189" s="81">
        <f>'[45]Flujos Vencimientos'!$T$14</f>
        <v>212870.96</v>
      </c>
      <c r="W189" s="82">
        <f>'[45]Flujos Vencimientos'!$U$14</f>
        <v>83128.63</v>
      </c>
      <c r="X189" s="81">
        <f>'[45]Flujos Vencimientos'!$V$14</f>
        <v>215587.28</v>
      </c>
      <c r="Y189" s="82">
        <f>'[45]Flujos Vencimientos'!$W$14</f>
        <v>80412.31</v>
      </c>
      <c r="Z189" s="81">
        <f>'[45]Flujos Vencimientos'!$X$14</f>
        <v>218338.26</v>
      </c>
      <c r="AA189" s="82">
        <f>'[45]Flujos Vencimientos'!$Y$14</f>
        <v>77661.32</v>
      </c>
      <c r="AB189" s="51">
        <f t="shared" si="40"/>
        <v>2445907.87</v>
      </c>
      <c r="AC189" s="50">
        <f t="shared" si="41"/>
        <v>1106087.16</v>
      </c>
    </row>
    <row r="190" spans="1:29" ht="12.75">
      <c r="A190" s="34" t="s">
        <v>4</v>
      </c>
      <c r="B190" s="81">
        <f>'[10]Flujo vencimientos'!B$14</f>
        <v>142300.39</v>
      </c>
      <c r="C190" s="82">
        <f>'[10]Flujo vencimientos'!C$14</f>
        <v>15906.26</v>
      </c>
      <c r="D190" s="81">
        <f>'[10]Flujo vencimientos'!D$14</f>
        <v>144197.73</v>
      </c>
      <c r="E190" s="82">
        <f>'[10]Flujo vencimientos'!E$14</f>
        <v>14008.92</v>
      </c>
      <c r="F190" s="81">
        <f>'[10]Flujo vencimientos'!F$14</f>
        <v>146120.37</v>
      </c>
      <c r="G190" s="82">
        <f>'[10]Flujo vencimientos'!G$14</f>
        <v>12086.28</v>
      </c>
      <c r="H190" s="81">
        <f>'[10]Flujo vencimientos'!H$14</f>
        <v>148068.64</v>
      </c>
      <c r="I190" s="82">
        <f>'[10]Flujo vencimientos'!I$14</f>
        <v>10138.01</v>
      </c>
      <c r="J190" s="81">
        <f>'[10]Flujo vencimientos'!J$14</f>
        <v>150042.89</v>
      </c>
      <c r="K190" s="82">
        <f>'[10]Flujo vencimientos'!K$14</f>
        <v>8163.76</v>
      </c>
      <c r="L190" s="81">
        <f>'[10]Flujo vencimientos'!L$14</f>
        <v>152043.46</v>
      </c>
      <c r="M190" s="82">
        <f>'[10]Flujo vencimientos'!M$14</f>
        <v>6163.19</v>
      </c>
      <c r="N190" s="51">
        <f t="shared" si="37"/>
        <v>882773.48</v>
      </c>
      <c r="O190" s="50">
        <f t="shared" si="38"/>
        <v>66466.42</v>
      </c>
      <c r="P190" s="382">
        <f>'[10]Flujo vencimientos'!N$14</f>
        <v>154070.71</v>
      </c>
      <c r="Q190" s="383">
        <f>'[10]Flujo vencimientos'!O$14</f>
        <v>4135.94</v>
      </c>
      <c r="R190" s="382">
        <f>'[10]Flujo vencimientos'!P$14</f>
        <v>156124.98</v>
      </c>
      <c r="S190" s="383">
        <f>'[10]Flujo vencimientos'!Q$14</f>
        <v>2081.67</v>
      </c>
      <c r="T190" s="79"/>
      <c r="U190" s="80"/>
      <c r="V190" s="79"/>
      <c r="W190" s="80"/>
      <c r="X190" s="79"/>
      <c r="Y190" s="80"/>
      <c r="Z190" s="79"/>
      <c r="AA190" s="80"/>
      <c r="AB190" s="51">
        <f t="shared" si="40"/>
        <v>1192969.17</v>
      </c>
      <c r="AC190" s="50">
        <f t="shared" si="41"/>
        <v>72684.03</v>
      </c>
    </row>
    <row r="191" spans="1:29" ht="12.75">
      <c r="A191" s="34" t="s">
        <v>10</v>
      </c>
      <c r="B191" s="81">
        <f>'[46]Flujos Vencimientos'!$B$14</f>
        <v>100081.25</v>
      </c>
      <c r="C191" s="82">
        <f>'[46]Flujos Vencimientos'!$C$14</f>
        <v>36976.6</v>
      </c>
      <c r="D191" s="81">
        <f>'[46]Flujos Vencimientos'!$D$14</f>
        <v>101347.9</v>
      </c>
      <c r="E191" s="82">
        <f>'[46]Flujos Vencimientos'!$E$14</f>
        <v>35709.94</v>
      </c>
      <c r="F191" s="81">
        <f>'[46]Flujos Vencimientos'!$F$14</f>
        <v>102630.59</v>
      </c>
      <c r="G191" s="82">
        <f>'[46]Flujos Vencimientos'!$G$14</f>
        <v>34427.26</v>
      </c>
      <c r="H191" s="81">
        <f>'[46]Flujos Vencimientos'!$H$14</f>
        <v>103929.51</v>
      </c>
      <c r="I191" s="82">
        <f>'[46]Flujos Vencimientos'!$I$14</f>
        <v>33128.34</v>
      </c>
      <c r="J191" s="81">
        <f>'[46]Flujos Vencimientos'!$J$14</f>
        <v>105244.86</v>
      </c>
      <c r="K191" s="82">
        <f>'[46]Flujos Vencimientos'!$K$14</f>
        <v>31812.98</v>
      </c>
      <c r="L191" s="81">
        <f>'[46]Flujos Vencimientos'!$L$14</f>
        <v>106576.87</v>
      </c>
      <c r="M191" s="82">
        <f>'[46]Flujos Vencimientos'!$M$14</f>
        <v>30480.98</v>
      </c>
      <c r="N191" s="51">
        <f t="shared" si="37"/>
        <v>619810.98</v>
      </c>
      <c r="O191" s="50">
        <f t="shared" si="38"/>
        <v>202536.10000000003</v>
      </c>
      <c r="P191" s="382">
        <f>'[46]Flujos Vencimientos'!$N$14</f>
        <v>107925.73</v>
      </c>
      <c r="Q191" s="383">
        <f>'[46]Flujos Vencimientos'!$O$14</f>
        <v>29132.11</v>
      </c>
      <c r="R191" s="382">
        <f>'[46]Flujos Vencimientos'!$P$14</f>
        <v>109291.67</v>
      </c>
      <c r="S191" s="383">
        <f>'[46]Flujos Vencimientos'!$Q$14</f>
        <v>27766.18</v>
      </c>
      <c r="T191" s="382">
        <f>'[46]Flujos Vencimientos'!$R$14</f>
        <v>110674.89</v>
      </c>
      <c r="U191" s="383">
        <f>'[46]Flujos Vencimientos'!$S$14</f>
        <v>26382.96</v>
      </c>
      <c r="V191" s="382">
        <f>'[46]Flujos Vencimientos'!$T$14</f>
        <v>112075.62</v>
      </c>
      <c r="W191" s="383">
        <f>'[46]Flujos Vencimientos'!$U$14</f>
        <v>24982.23</v>
      </c>
      <c r="X191" s="382">
        <f>'[46]Flujos Vencimientos'!$V$14</f>
        <v>113494.08</v>
      </c>
      <c r="Y191" s="383">
        <f>'[46]Flujos Vencimientos'!$W$14</f>
        <v>23563.77</v>
      </c>
      <c r="Z191" s="382">
        <f>'[46]Flujos Vencimientos'!$X$14</f>
        <v>114930.49</v>
      </c>
      <c r="AA191" s="383">
        <f>'[46]Flujos Vencimientos'!$Y$14</f>
        <v>22127.36</v>
      </c>
      <c r="AB191" s="51">
        <f t="shared" si="40"/>
        <v>1288203.4600000002</v>
      </c>
      <c r="AC191" s="50">
        <f t="shared" si="41"/>
        <v>356490.71</v>
      </c>
    </row>
    <row r="192" spans="1:29" ht="12.75">
      <c r="A192" s="134" t="s">
        <v>130</v>
      </c>
      <c r="B192" s="32">
        <f>SUM(B193:B195)</f>
        <v>50262.6</v>
      </c>
      <c r="C192" s="31">
        <f>SUM(C193:C195)</f>
        <v>57750.52</v>
      </c>
      <c r="D192" s="32">
        <f aca="true" t="shared" si="44" ref="D192:AC192">SUM(D193:D195)</f>
        <v>50262.6</v>
      </c>
      <c r="E192" s="31">
        <f t="shared" si="44"/>
        <v>51930.41</v>
      </c>
      <c r="F192" s="32">
        <f t="shared" si="44"/>
        <v>50262.6</v>
      </c>
      <c r="G192" s="31">
        <f t="shared" si="44"/>
        <v>57238.25</v>
      </c>
      <c r="H192" s="32">
        <f t="shared" si="44"/>
        <v>50262.6</v>
      </c>
      <c r="I192" s="31">
        <f t="shared" si="44"/>
        <v>55143.99</v>
      </c>
      <c r="J192" s="32">
        <f t="shared" si="44"/>
        <v>50262.6</v>
      </c>
      <c r="K192" s="31">
        <f t="shared" si="44"/>
        <v>56725.99</v>
      </c>
      <c r="L192" s="32">
        <f t="shared" si="44"/>
        <v>50262.6</v>
      </c>
      <c r="M192" s="31">
        <f t="shared" si="44"/>
        <v>54648.24</v>
      </c>
      <c r="N192" s="32">
        <f t="shared" si="44"/>
        <v>301575.6</v>
      </c>
      <c r="O192" s="31">
        <f t="shared" si="44"/>
        <v>333437.39999999997</v>
      </c>
      <c r="P192" s="32">
        <f t="shared" si="44"/>
        <v>50262.6</v>
      </c>
      <c r="Q192" s="31">
        <f t="shared" si="44"/>
        <v>56213.72</v>
      </c>
      <c r="R192" s="32">
        <f t="shared" si="44"/>
        <v>50262.6</v>
      </c>
      <c r="S192" s="31">
        <f t="shared" si="44"/>
        <v>55957.59</v>
      </c>
      <c r="T192" s="32">
        <f t="shared" si="44"/>
        <v>50262.6</v>
      </c>
      <c r="U192" s="31">
        <f t="shared" si="44"/>
        <v>53904.63</v>
      </c>
      <c r="V192" s="32">
        <f t="shared" si="44"/>
        <v>50262.6</v>
      </c>
      <c r="W192" s="31">
        <f t="shared" si="44"/>
        <v>55445.32</v>
      </c>
      <c r="X192" s="32">
        <f t="shared" si="44"/>
        <v>50262.6</v>
      </c>
      <c r="Y192" s="31">
        <f t="shared" si="44"/>
        <v>53408.89</v>
      </c>
      <c r="Z192" s="32">
        <f t="shared" si="44"/>
        <v>50262.6</v>
      </c>
      <c r="AA192" s="31">
        <f t="shared" si="44"/>
        <v>54933.06</v>
      </c>
      <c r="AB192" s="32">
        <f t="shared" si="44"/>
        <v>603151.1999999998</v>
      </c>
      <c r="AC192" s="31">
        <f t="shared" si="44"/>
        <v>663300.6099999999</v>
      </c>
    </row>
    <row r="193" spans="1:29" ht="12.75">
      <c r="A193" s="5" t="s">
        <v>22</v>
      </c>
      <c r="B193" s="545">
        <f>'[68]Flujo vencimientos'!B$14</f>
        <v>50262.6</v>
      </c>
      <c r="C193" s="546">
        <f>'[68]Flujo vencimientos'!C$14</f>
        <v>57750.52</v>
      </c>
      <c r="D193" s="545">
        <f>'[68]Flujo vencimientos'!D$14</f>
        <v>50262.6</v>
      </c>
      <c r="E193" s="546">
        <f>'[68]Flujo vencimientos'!E$14</f>
        <v>51930.41</v>
      </c>
      <c r="F193" s="545">
        <f>'[68]Flujo vencimientos'!F$14</f>
        <v>50262.6</v>
      </c>
      <c r="G193" s="546">
        <f>'[68]Flujo vencimientos'!G$14</f>
        <v>57238.25</v>
      </c>
      <c r="H193" s="545">
        <f>'[68]Flujo vencimientos'!H$14</f>
        <v>50262.6</v>
      </c>
      <c r="I193" s="546">
        <f>'[68]Flujo vencimientos'!I$14</f>
        <v>55143.99</v>
      </c>
      <c r="J193" s="545">
        <f>'[68]Flujo vencimientos'!J$14</f>
        <v>50262.6</v>
      </c>
      <c r="K193" s="546">
        <f>'[68]Flujo vencimientos'!K$14</f>
        <v>56725.99</v>
      </c>
      <c r="L193" s="545">
        <f>'[68]Flujo vencimientos'!L$14</f>
        <v>50262.6</v>
      </c>
      <c r="M193" s="546">
        <f>'[68]Flujo vencimientos'!M$14</f>
        <v>54648.24</v>
      </c>
      <c r="N193" s="547">
        <f>B193+D193+F193+H193+J193+L193</f>
        <v>301575.6</v>
      </c>
      <c r="O193" s="84">
        <f>C193+E193+G193+I193+K193+M193</f>
        <v>333437.39999999997</v>
      </c>
      <c r="P193" s="545">
        <f>'[68]Flujo vencimientos'!N$14</f>
        <v>50262.6</v>
      </c>
      <c r="Q193" s="546">
        <f>'[68]Flujo vencimientos'!O$14</f>
        <v>56213.72</v>
      </c>
      <c r="R193" s="545">
        <f>'[68]Flujo vencimientos'!P$14</f>
        <v>50262.6</v>
      </c>
      <c r="S193" s="546">
        <f>'[68]Flujo vencimientos'!Q$14</f>
        <v>55957.59</v>
      </c>
      <c r="T193" s="545">
        <f>'[68]Flujo vencimientos'!R$14</f>
        <v>50262.6</v>
      </c>
      <c r="U193" s="546">
        <f>'[68]Flujo vencimientos'!S$14</f>
        <v>53904.63</v>
      </c>
      <c r="V193" s="545">
        <f>'[68]Flujo vencimientos'!T$14</f>
        <v>50262.6</v>
      </c>
      <c r="W193" s="546">
        <f>'[68]Flujo vencimientos'!U$14</f>
        <v>55445.32</v>
      </c>
      <c r="X193" s="545">
        <f>'[68]Flujo vencimientos'!V$14</f>
        <v>50262.6</v>
      </c>
      <c r="Y193" s="546">
        <f>'[68]Flujo vencimientos'!W$14</f>
        <v>53408.89</v>
      </c>
      <c r="Z193" s="545">
        <f>'[68]Flujo vencimientos'!X$14</f>
        <v>50262.6</v>
      </c>
      <c r="AA193" s="546">
        <f>'[68]Flujo vencimientos'!Y$14</f>
        <v>54933.06</v>
      </c>
      <c r="AB193" s="547">
        <f>+N193+P193+R193+T193+V193+X193+Z193</f>
        <v>603151.1999999998</v>
      </c>
      <c r="AC193" s="84">
        <f>O193+Q193+S193+U193+W193+Y193+AA193</f>
        <v>663300.6099999999</v>
      </c>
    </row>
    <row r="194" spans="1:29" ht="12.75" hidden="1">
      <c r="A194" s="5" t="s">
        <v>8</v>
      </c>
      <c r="B194" s="545"/>
      <c r="C194" s="546"/>
      <c r="D194" s="545"/>
      <c r="E194" s="546"/>
      <c r="F194" s="545"/>
      <c r="G194" s="546"/>
      <c r="H194" s="545"/>
      <c r="I194" s="546"/>
      <c r="J194" s="545"/>
      <c r="K194" s="546"/>
      <c r="L194" s="545"/>
      <c r="M194" s="546"/>
      <c r="N194" s="547">
        <f t="shared" si="37"/>
        <v>0</v>
      </c>
      <c r="O194" s="84">
        <f t="shared" si="38"/>
        <v>0</v>
      </c>
      <c r="P194" s="545"/>
      <c r="Q194" s="546"/>
      <c r="R194" s="545"/>
      <c r="S194" s="546"/>
      <c r="T194" s="545"/>
      <c r="U194" s="546"/>
      <c r="V194" s="545"/>
      <c r="W194" s="546"/>
      <c r="X194" s="545"/>
      <c r="Y194" s="546"/>
      <c r="Z194" s="545"/>
      <c r="AA194" s="546"/>
      <c r="AB194" s="547">
        <f t="shared" si="40"/>
        <v>0</v>
      </c>
      <c r="AC194" s="84">
        <f t="shared" si="41"/>
        <v>0</v>
      </c>
    </row>
    <row r="195" spans="1:29" ht="12.75" hidden="1">
      <c r="A195" s="5" t="s">
        <v>11</v>
      </c>
      <c r="B195" s="545"/>
      <c r="C195" s="546"/>
      <c r="D195" s="545"/>
      <c r="E195" s="546"/>
      <c r="F195" s="545"/>
      <c r="G195" s="546"/>
      <c r="H195" s="545"/>
      <c r="I195" s="546"/>
      <c r="J195" s="545"/>
      <c r="K195" s="546"/>
      <c r="L195" s="545"/>
      <c r="M195" s="546"/>
      <c r="N195" s="547">
        <f t="shared" si="37"/>
        <v>0</v>
      </c>
      <c r="O195" s="84">
        <f t="shared" si="38"/>
        <v>0</v>
      </c>
      <c r="P195" s="545"/>
      <c r="Q195" s="546"/>
      <c r="R195" s="545"/>
      <c r="S195" s="546"/>
      <c r="T195" s="545"/>
      <c r="U195" s="546"/>
      <c r="V195" s="545"/>
      <c r="W195" s="546"/>
      <c r="X195" s="545"/>
      <c r="Y195" s="546"/>
      <c r="Z195" s="545"/>
      <c r="AA195" s="546"/>
      <c r="AB195" s="547">
        <f t="shared" si="40"/>
        <v>0</v>
      </c>
      <c r="AC195" s="84">
        <f t="shared" si="41"/>
        <v>0</v>
      </c>
    </row>
    <row r="196" spans="1:29" ht="12.75">
      <c r="A196" s="33" t="s">
        <v>27</v>
      </c>
      <c r="B196" s="32">
        <f>SUM(B197:B199)</f>
        <v>333767.44</v>
      </c>
      <c r="C196" s="31">
        <f>SUM(C197:C199)</f>
        <v>45253.48</v>
      </c>
      <c r="D196" s="32">
        <f aca="true" t="shared" si="45" ref="D196:M196">SUM(D197:D199)</f>
        <v>546203.5499999999</v>
      </c>
      <c r="E196" s="31">
        <f t="shared" si="45"/>
        <v>40672.25</v>
      </c>
      <c r="F196" s="32">
        <f t="shared" si="45"/>
        <v>550294.5099999999</v>
      </c>
      <c r="G196" s="31">
        <f t="shared" si="45"/>
        <v>44422.12</v>
      </c>
      <c r="H196" s="32">
        <f t="shared" si="45"/>
        <v>554416.04</v>
      </c>
      <c r="I196" s="31">
        <f t="shared" si="45"/>
        <v>42401.36</v>
      </c>
      <c r="J196" s="32">
        <f t="shared" si="45"/>
        <v>558568.35</v>
      </c>
      <c r="K196" s="31">
        <f t="shared" si="45"/>
        <v>43190.21</v>
      </c>
      <c r="L196" s="32">
        <f t="shared" si="45"/>
        <v>562751.67</v>
      </c>
      <c r="M196" s="31">
        <f t="shared" si="45"/>
        <v>41186.41</v>
      </c>
      <c r="N196" s="32">
        <f t="shared" si="37"/>
        <v>3106001.56</v>
      </c>
      <c r="O196" s="31">
        <f t="shared" si="38"/>
        <v>257125.83000000002</v>
      </c>
      <c r="P196" s="32">
        <f aca="true" t="shared" si="46" ref="P196:AA196">SUM(P197:P199)</f>
        <v>566966.2399999999</v>
      </c>
      <c r="Q196" s="31">
        <f t="shared" si="46"/>
        <v>41911.17</v>
      </c>
      <c r="R196" s="32">
        <f t="shared" si="46"/>
        <v>571212.28</v>
      </c>
      <c r="S196" s="31">
        <f t="shared" si="46"/>
        <v>41253.64</v>
      </c>
      <c r="T196" s="32">
        <f t="shared" si="46"/>
        <v>575490.02</v>
      </c>
      <c r="U196" s="31">
        <f t="shared" si="46"/>
        <v>39277.16</v>
      </c>
      <c r="V196" s="32">
        <f t="shared" si="46"/>
        <v>579799.7</v>
      </c>
      <c r="W196" s="31">
        <f t="shared" si="46"/>
        <v>39901.83</v>
      </c>
      <c r="X196" s="32">
        <f t="shared" si="46"/>
        <v>584141.55</v>
      </c>
      <c r="Y196" s="31">
        <f t="shared" si="46"/>
        <v>37944.81</v>
      </c>
      <c r="Z196" s="32">
        <f t="shared" si="46"/>
        <v>588515.8099999999</v>
      </c>
      <c r="AA196" s="31">
        <f t="shared" si="46"/>
        <v>38500.04</v>
      </c>
      <c r="AB196" s="32">
        <f t="shared" si="40"/>
        <v>6572127.159999999</v>
      </c>
      <c r="AC196" s="31">
        <f t="shared" si="41"/>
        <v>495914.48000000004</v>
      </c>
    </row>
    <row r="197" spans="1:29" ht="12.75">
      <c r="A197" s="34" t="s">
        <v>22</v>
      </c>
      <c r="B197" s="81">
        <f>'[43]Flujo para el libro'!B$14</f>
        <v>203729.21000000002</v>
      </c>
      <c r="C197" s="82">
        <f>'[43]Flujo para el libro'!C$14</f>
        <v>27569.5</v>
      </c>
      <c r="D197" s="81">
        <f>'[43]Flujo para el libro'!D$14</f>
        <v>335258.31</v>
      </c>
      <c r="E197" s="82">
        <f>'[43]Flujo para el libro'!E$14</f>
        <v>24773.7</v>
      </c>
      <c r="F197" s="81">
        <f>'[43]Flujo para el libro'!F$14</f>
        <v>337777.77999999997</v>
      </c>
      <c r="G197" s="82">
        <f>'[43]Flujo para el libro'!G$14</f>
        <v>27060.38</v>
      </c>
      <c r="H197" s="81">
        <f>'[43]Flujo para el libro'!H$14</f>
        <v>340316.18</v>
      </c>
      <c r="I197" s="82">
        <f>'[43]Flujo para el libro'!I$14</f>
        <v>25824.84</v>
      </c>
      <c r="J197" s="81">
        <f>'[43]Flujo para el libro'!J$14</f>
        <v>342873.66</v>
      </c>
      <c r="K197" s="82">
        <f>'[43]Flujo para el libro'!K$14</f>
        <v>26303.8</v>
      </c>
      <c r="L197" s="81">
        <f>'[43]Flujo para el libro'!L$14</f>
        <v>345450.35</v>
      </c>
      <c r="M197" s="82">
        <f>'[43]Flujo para el libro'!M$14</f>
        <v>25078.72</v>
      </c>
      <c r="N197" s="51">
        <f t="shared" si="37"/>
        <v>1905405.4899999998</v>
      </c>
      <c r="O197" s="50">
        <f t="shared" si="38"/>
        <v>156610.94</v>
      </c>
      <c r="P197" s="81">
        <f>'[43]Flujo para el libro'!N$14</f>
        <v>348046.41</v>
      </c>
      <c r="Q197" s="82">
        <f>'[43]Flujo para el libro'!O$14</f>
        <v>25518.23</v>
      </c>
      <c r="R197" s="81">
        <f>'[43]Flujo para el libro'!P$14</f>
        <v>350661.98</v>
      </c>
      <c r="S197" s="82">
        <f>'[43]Flujo para el libro'!Q$14</f>
        <v>25114.35</v>
      </c>
      <c r="T197" s="81">
        <f>'[43]Flujo para el libro'!R$14</f>
        <v>353297.2</v>
      </c>
      <c r="U197" s="82">
        <f>'[43]Flujo para el libro'!S$14</f>
        <v>23906.09</v>
      </c>
      <c r="V197" s="81">
        <f>'[43]Flujo para el libro'!T$14</f>
        <v>355952.23</v>
      </c>
      <c r="W197" s="82">
        <f>'[43]Flujo para el libro'!U$14</f>
        <v>24283.98</v>
      </c>
      <c r="X197" s="81">
        <f>'[43]Flujo para el libro'!V$14</f>
        <v>358627.21</v>
      </c>
      <c r="Y197" s="82">
        <f>'[43]Flujo para el libro'!W$14</f>
        <v>23087.71</v>
      </c>
      <c r="Z197" s="81">
        <f>'[43]Flujo para el libro'!X$14</f>
        <v>361322.29</v>
      </c>
      <c r="AA197" s="82">
        <f>'[43]Flujo para el libro'!Y$14</f>
        <v>23422.83</v>
      </c>
      <c r="AB197" s="51">
        <f t="shared" si="40"/>
        <v>4033312.81</v>
      </c>
      <c r="AC197" s="50">
        <f t="shared" si="41"/>
        <v>301944.13000000006</v>
      </c>
    </row>
    <row r="198" spans="1:29" ht="12.75">
      <c r="A198" s="34" t="s">
        <v>128</v>
      </c>
      <c r="B198" s="81">
        <f>'[30]Flujo para el libro'!B$14</f>
        <v>122430.04000000001</v>
      </c>
      <c r="C198" s="82">
        <f>'[30]Flujo para el libro'!C$14</f>
        <v>16647.97</v>
      </c>
      <c r="D198" s="81">
        <f>'[30]Flujo para el libro'!D$14</f>
        <v>201471.8</v>
      </c>
      <c r="E198" s="82">
        <f>'[30]Flujo para el libro'!E$14</f>
        <v>14966.97</v>
      </c>
      <c r="F198" s="81">
        <f>'[30]Flujo para el libro'!F$14</f>
        <v>202985.86</v>
      </c>
      <c r="G198" s="82">
        <f>'[30]Flujo para el libro'!G$14</f>
        <v>16339.62</v>
      </c>
      <c r="H198" s="81">
        <f>'[30]Flujo para el libro'!H$14</f>
        <v>204511.3</v>
      </c>
      <c r="I198" s="82">
        <f>'[30]Flujo para el libro'!I$14</f>
        <v>15595.609999999999</v>
      </c>
      <c r="J198" s="81">
        <f>'[30]Flujo para el libro'!J$14</f>
        <v>206048.2</v>
      </c>
      <c r="K198" s="82">
        <f>'[30]Flujo para el libro'!K$14</f>
        <v>15881.91</v>
      </c>
      <c r="L198" s="81">
        <f>'[30]Flujo para el libro'!L$14</f>
        <v>207596.65</v>
      </c>
      <c r="M198" s="82">
        <f>'[30]Flujo para el libro'!M$14</f>
        <v>15144.16</v>
      </c>
      <c r="N198" s="51">
        <f t="shared" si="37"/>
        <v>1145043.8499999999</v>
      </c>
      <c r="O198" s="50">
        <f t="shared" si="38"/>
        <v>94576.24</v>
      </c>
      <c r="P198" s="81">
        <f>'[30]Flujo para el libro'!N$14</f>
        <v>209156.74</v>
      </c>
      <c r="Q198" s="82">
        <f>'[30]Flujo para el libro'!O$14</f>
        <v>15406.74</v>
      </c>
      <c r="R198" s="81">
        <f>'[30]Flujo para el libro'!P$14</f>
        <v>210728.55</v>
      </c>
      <c r="S198" s="82">
        <f>'[30]Flujo para el libro'!Q$14</f>
        <v>15162.49</v>
      </c>
      <c r="T198" s="81">
        <f>'[30]Flujo para el libro'!R$14</f>
        <v>212312.18</v>
      </c>
      <c r="U198" s="82">
        <f>'[30]Flujo para el libro'!S$14</f>
        <v>14434.85</v>
      </c>
      <c r="V198" s="81">
        <f>'[30]Flujo para el libro'!T$14</f>
        <v>213907.69999999998</v>
      </c>
      <c r="W198" s="82">
        <f>'[30]Flujo para el libro'!U$14</f>
        <v>14660.37</v>
      </c>
      <c r="X198" s="81">
        <f>'[30]Flujo para el libro'!V$14</f>
        <v>215515.22</v>
      </c>
      <c r="Y198" s="82">
        <f>'[30]Flujo para el libro'!W$14</f>
        <v>13939.92</v>
      </c>
      <c r="Z198" s="81">
        <f>'[30]Flujo para el libro'!X$14</f>
        <v>217134.82</v>
      </c>
      <c r="AA198" s="82">
        <f>'[30]Flujo para el libro'!Y$14</f>
        <v>14139.74</v>
      </c>
      <c r="AB198" s="51">
        <f t="shared" si="40"/>
        <v>2423799.0599999996</v>
      </c>
      <c r="AC198" s="50">
        <f t="shared" si="41"/>
        <v>182320.35</v>
      </c>
    </row>
    <row r="199" spans="1:29" ht="12.75">
      <c r="A199" s="34" t="s">
        <v>11</v>
      </c>
      <c r="B199" s="81">
        <f>'[5]Flujo para el libro'!B$14</f>
        <v>7608.1900000000005</v>
      </c>
      <c r="C199" s="82">
        <f>'[5]Flujo para el libro'!C$14</f>
        <v>1036.01</v>
      </c>
      <c r="D199" s="81">
        <f>'[5]Flujo para el libro'!D$14</f>
        <v>9473.439999999999</v>
      </c>
      <c r="E199" s="82">
        <f>'[5]Flujo para el libro'!E$14</f>
        <v>931.5799999999999</v>
      </c>
      <c r="F199" s="81">
        <f>'[5]Flujo para el libro'!F$14</f>
        <v>9530.869999999999</v>
      </c>
      <c r="G199" s="82">
        <f>'[5]Flujo para el libro'!G$14</f>
        <v>1022.1199999999999</v>
      </c>
      <c r="H199" s="81">
        <f>'[5]Flujo para el libro'!H$14</f>
        <v>9588.56</v>
      </c>
      <c r="I199" s="82">
        <f>'[5]Flujo para el libro'!I$14</f>
        <v>980.91</v>
      </c>
      <c r="J199" s="81">
        <f>'[5]Flujo para el libro'!J$14</f>
        <v>9646.49</v>
      </c>
      <c r="K199" s="82">
        <f>'[5]Flujo para el libro'!K$14</f>
        <v>1004.5</v>
      </c>
      <c r="L199" s="81">
        <f>'[5]Flujo para el libro'!L$14</f>
        <v>9704.669999999998</v>
      </c>
      <c r="M199" s="82">
        <f>'[5]Flujo para el libro'!M$14</f>
        <v>963.5300000000001</v>
      </c>
      <c r="N199" s="51">
        <f t="shared" si="37"/>
        <v>55552.219999999994</v>
      </c>
      <c r="O199" s="50">
        <f t="shared" si="38"/>
        <v>5938.65</v>
      </c>
      <c r="P199" s="81">
        <f>'[5]Flujo para el libro'!N$14</f>
        <v>9763.09</v>
      </c>
      <c r="Q199" s="82">
        <f>'[5]Flujo para el libro'!O$14</f>
        <v>986.2</v>
      </c>
      <c r="R199" s="81">
        <f>'[5]Flujo para el libro'!P$14</f>
        <v>9821.75</v>
      </c>
      <c r="S199" s="82">
        <f>'[5]Flujo para el libro'!Q$14</f>
        <v>976.8000000000001</v>
      </c>
      <c r="T199" s="81">
        <f>'[5]Flujo para el libro'!R$14</f>
        <v>9880.64</v>
      </c>
      <c r="U199" s="82">
        <f>'[5]Flujo para el libro'!S$14</f>
        <v>936.22</v>
      </c>
      <c r="V199" s="81">
        <f>'[5]Flujo para el libro'!T$14</f>
        <v>9939.77</v>
      </c>
      <c r="W199" s="82">
        <f>'[5]Flujo para el libro'!U$14</f>
        <v>957.48</v>
      </c>
      <c r="X199" s="81">
        <f>'[5]Flujo para el libro'!V$14</f>
        <v>9999.119999999999</v>
      </c>
      <c r="Y199" s="82">
        <f>'[5]Flujo para el libro'!W$14</f>
        <v>917.18</v>
      </c>
      <c r="Z199" s="81">
        <f>'[5]Flujo para el libro'!X$14</f>
        <v>10058.7</v>
      </c>
      <c r="AA199" s="82">
        <f>'[5]Flujo para el libro'!Y$14</f>
        <v>937.47</v>
      </c>
      <c r="AB199" s="51">
        <f t="shared" si="40"/>
        <v>115015.29</v>
      </c>
      <c r="AC199" s="50">
        <f t="shared" si="41"/>
        <v>11649.999999999998</v>
      </c>
    </row>
    <row r="200" spans="1:29" s="1" customFormat="1" ht="12">
      <c r="A200" s="134" t="s">
        <v>179</v>
      </c>
      <c r="B200" s="32">
        <f>SUM(B201:B205)</f>
        <v>1562454.39</v>
      </c>
      <c r="C200" s="31">
        <f>SUM(C201:C205)</f>
        <v>660558.59</v>
      </c>
      <c r="D200" s="32">
        <f aca="true" t="shared" si="47" ref="D200:M200">SUM(D201:D205)</f>
        <v>95582.67000000001</v>
      </c>
      <c r="E200" s="31">
        <f t="shared" si="47"/>
        <v>37079.43</v>
      </c>
      <c r="F200" s="32">
        <f t="shared" si="47"/>
        <v>312122.43</v>
      </c>
      <c r="G200" s="31">
        <f t="shared" si="47"/>
        <v>199947.67</v>
      </c>
      <c r="H200" s="32">
        <f t="shared" si="47"/>
        <v>97360.20999999999</v>
      </c>
      <c r="I200" s="31">
        <f t="shared" si="47"/>
        <v>35301.89</v>
      </c>
      <c r="J200" s="32">
        <f t="shared" si="47"/>
        <v>98263.73000000001</v>
      </c>
      <c r="K200" s="31">
        <f t="shared" si="47"/>
        <v>34398.37</v>
      </c>
      <c r="L200" s="32">
        <f t="shared" si="47"/>
        <v>99177.23000000001</v>
      </c>
      <c r="M200" s="31">
        <f t="shared" si="47"/>
        <v>33484.86</v>
      </c>
      <c r="N200" s="32">
        <f t="shared" si="37"/>
        <v>2264960.6599999997</v>
      </c>
      <c r="O200" s="31">
        <f t="shared" si="38"/>
        <v>1000770.81</v>
      </c>
      <c r="P200" s="32">
        <f aca="true" t="shared" si="48" ref="P200:AA200">SUM(P201:P205)</f>
        <v>1643894.3900000001</v>
      </c>
      <c r="Q200" s="31">
        <f t="shared" si="48"/>
        <v>579118.57</v>
      </c>
      <c r="R200" s="32">
        <f t="shared" si="48"/>
        <v>101034.65</v>
      </c>
      <c r="S200" s="31">
        <f t="shared" si="48"/>
        <v>31627.440000000002</v>
      </c>
      <c r="T200" s="32">
        <f t="shared" si="48"/>
        <v>335760.57</v>
      </c>
      <c r="U200" s="31">
        <f t="shared" si="48"/>
        <v>176309.52</v>
      </c>
      <c r="V200" s="32">
        <f t="shared" si="48"/>
        <v>102933.44</v>
      </c>
      <c r="W200" s="31">
        <f t="shared" si="48"/>
        <v>29728.649999999998</v>
      </c>
      <c r="X200" s="32">
        <f t="shared" si="48"/>
        <v>103898.64</v>
      </c>
      <c r="Y200" s="31">
        <f t="shared" si="48"/>
        <v>28763.45</v>
      </c>
      <c r="Z200" s="32">
        <f t="shared" si="48"/>
        <v>104874.54999999999</v>
      </c>
      <c r="AA200" s="31">
        <f t="shared" si="48"/>
        <v>27787.54</v>
      </c>
      <c r="AB200" s="32">
        <f t="shared" si="40"/>
        <v>4657356.899999999</v>
      </c>
      <c r="AC200" s="31">
        <f t="shared" si="41"/>
        <v>1874105.9799999997</v>
      </c>
    </row>
    <row r="201" spans="1:29" s="1" customFormat="1" ht="12">
      <c r="A201" s="34" t="str">
        <f>+A139</f>
        <v>Capital (Supervielle)</v>
      </c>
      <c r="B201" s="81">
        <f>'[22]Flujos Vencimientos'!$B$14</f>
        <v>1467745.97</v>
      </c>
      <c r="C201" s="82">
        <f>'[22]Flujos Vencimientos'!$C$14</f>
        <v>622604.91</v>
      </c>
      <c r="D201" s="79"/>
      <c r="E201" s="80"/>
      <c r="F201" s="79"/>
      <c r="G201" s="80"/>
      <c r="H201" s="79"/>
      <c r="I201" s="80"/>
      <c r="J201" s="79"/>
      <c r="K201" s="80"/>
      <c r="L201" s="79"/>
      <c r="M201" s="80"/>
      <c r="N201" s="51">
        <f t="shared" si="37"/>
        <v>1467745.97</v>
      </c>
      <c r="O201" s="50">
        <f t="shared" si="38"/>
        <v>622604.91</v>
      </c>
      <c r="P201" s="81">
        <f>'[22]Flujos Vencimientos'!$N$14</f>
        <v>1543793.56</v>
      </c>
      <c r="Q201" s="82">
        <f>'[22]Flujos Vencimientos'!$O$14</f>
        <v>546557.32</v>
      </c>
      <c r="R201" s="79"/>
      <c r="S201" s="80"/>
      <c r="T201" s="79"/>
      <c r="U201" s="80"/>
      <c r="V201" s="79"/>
      <c r="W201" s="80"/>
      <c r="X201" s="79"/>
      <c r="Y201" s="80"/>
      <c r="Z201" s="79"/>
      <c r="AA201" s="80"/>
      <c r="AB201" s="51">
        <f>+N201+P201+R201+T201+V201+X201+Z201</f>
        <v>3011539.5300000003</v>
      </c>
      <c r="AC201" s="50">
        <f>O201+Q201+S201+U201+W201+Y201+AA201</f>
        <v>1169162.23</v>
      </c>
    </row>
    <row r="202" spans="1:29" s="1" customFormat="1" ht="12">
      <c r="A202" s="34" t="str">
        <f>+A140</f>
        <v>Luján (Credicoop)</v>
      </c>
      <c r="B202" s="81">
        <f>'[28]Flujos Vencimientos'!B$14</f>
        <v>43353.65</v>
      </c>
      <c r="C202" s="82">
        <f>'[28]Flujos Vencimientos'!C$14</f>
        <v>13488.57</v>
      </c>
      <c r="D202" s="81">
        <f>'[28]Flujos Vencimientos'!D$14</f>
        <v>43916.51</v>
      </c>
      <c r="E202" s="82">
        <f>'[28]Flujos Vencimientos'!E$14</f>
        <v>12925.71</v>
      </c>
      <c r="F202" s="81">
        <f>'[28]Flujos Vencimientos'!F$14</f>
        <v>44486.68</v>
      </c>
      <c r="G202" s="82">
        <f>'[28]Flujos Vencimientos'!G$14</f>
        <v>12355.54</v>
      </c>
      <c r="H202" s="81">
        <f>'[28]Flujos Vencimientos'!H$14</f>
        <v>45064.25</v>
      </c>
      <c r="I202" s="82">
        <f>'[28]Flujos Vencimientos'!I$14</f>
        <v>11777.97</v>
      </c>
      <c r="J202" s="81">
        <f>'[28]Flujos Vencimientos'!J$14</f>
        <v>45649.32</v>
      </c>
      <c r="K202" s="82">
        <f>'[28]Flujos Vencimientos'!K$14</f>
        <v>11192.9</v>
      </c>
      <c r="L202" s="81">
        <f>'[28]Flujos Vencimientos'!L$14</f>
        <v>46241.98</v>
      </c>
      <c r="M202" s="82">
        <f>'[28]Flujos Vencimientos'!M$14</f>
        <v>10600.23</v>
      </c>
      <c r="N202" s="51">
        <f t="shared" si="37"/>
        <v>268712.39</v>
      </c>
      <c r="O202" s="50">
        <f t="shared" si="38"/>
        <v>72340.92</v>
      </c>
      <c r="P202" s="81">
        <f>'[28]Flujos Vencimientos'!N$14</f>
        <v>46842.34</v>
      </c>
      <c r="Q202" s="82">
        <f>'[28]Flujos Vencimientos'!O$14</f>
        <v>9999.87</v>
      </c>
      <c r="R202" s="81">
        <f>'[28]Flujos Vencimientos'!P$14</f>
        <v>47450.49</v>
      </c>
      <c r="S202" s="82">
        <f>'[28]Flujos Vencimientos'!Q$14</f>
        <v>9391.72</v>
      </c>
      <c r="T202" s="81">
        <f>'[28]Flujos Vencimientos'!R$14</f>
        <v>48066.55</v>
      </c>
      <c r="U202" s="82">
        <f>'[28]Flujos Vencimientos'!S$14</f>
        <v>8775.67</v>
      </c>
      <c r="V202" s="81">
        <f>'[28]Flujos Vencimientos'!T$14</f>
        <v>48690.59</v>
      </c>
      <c r="W202" s="82">
        <f>'[28]Flujos Vencimientos'!U$14</f>
        <v>8151.62</v>
      </c>
      <c r="X202" s="81">
        <f>'[28]Flujos Vencimientos'!V$14</f>
        <v>49322.74</v>
      </c>
      <c r="Y202" s="82">
        <f>'[28]Flujos Vencimientos'!W$14</f>
        <v>7519.47</v>
      </c>
      <c r="Z202" s="81">
        <f>'[28]Flujos Vencimientos'!X$14</f>
        <v>49963.1</v>
      </c>
      <c r="AA202" s="82">
        <f>'[28]Flujos Vencimientos'!Y$14</f>
        <v>6879.11</v>
      </c>
      <c r="AB202" s="51">
        <f t="shared" si="40"/>
        <v>559048.2</v>
      </c>
      <c r="AC202" s="50">
        <f t="shared" si="41"/>
        <v>123058.37999999999</v>
      </c>
    </row>
    <row r="203" spans="1:29" s="1" customFormat="1" ht="12">
      <c r="A203" s="34" t="str">
        <f>+A141</f>
        <v>Maipú (ENOSHA)</v>
      </c>
      <c r="B203" s="81">
        <f>'[19]Flujo para el libro'!B$14</f>
        <v>41518.77</v>
      </c>
      <c r="C203" s="82">
        <f>'[19]Flujo para el libro'!C$14</f>
        <v>24465.11</v>
      </c>
      <c r="D203" s="81">
        <f>'[19]Flujo para el libro'!D$14</f>
        <v>41830.16</v>
      </c>
      <c r="E203" s="82">
        <f>'[19]Flujo para el libro'!E$14</f>
        <v>24153.72</v>
      </c>
      <c r="F203" s="81">
        <f>'[19]Flujo para el libro'!F$14</f>
        <v>42143.88</v>
      </c>
      <c r="G203" s="82">
        <f>'[19]Flujo para el libro'!G$14</f>
        <v>23840</v>
      </c>
      <c r="H203" s="81">
        <f>'[19]Flujo para el libro'!H$14</f>
        <v>42459.96</v>
      </c>
      <c r="I203" s="82">
        <f>'[19]Flujo para el libro'!I$14</f>
        <v>23523.92</v>
      </c>
      <c r="J203" s="81">
        <f>'[19]Flujo para el libro'!J$14</f>
        <v>42778.41</v>
      </c>
      <c r="K203" s="82">
        <f>'[19]Flujo para el libro'!K$14</f>
        <v>23205.47</v>
      </c>
      <c r="L203" s="81">
        <f>'[19]Flujo para el libro'!L$14</f>
        <v>43099.25</v>
      </c>
      <c r="M203" s="82">
        <f>'[19]Flujo para el libro'!M$14</f>
        <v>22884.63</v>
      </c>
      <c r="N203" s="51">
        <f t="shared" si="37"/>
        <v>253830.43</v>
      </c>
      <c r="O203" s="50">
        <f t="shared" si="38"/>
        <v>142072.85</v>
      </c>
      <c r="P203" s="81">
        <f>'[19]Flujo para el libro'!N$14</f>
        <v>43422.49</v>
      </c>
      <c r="Q203" s="82">
        <f>'[19]Flujo para el libro'!O$14</f>
        <v>22561.38</v>
      </c>
      <c r="R203" s="81">
        <f>'[19]Flujo para el libro'!P$14</f>
        <v>43748.16</v>
      </c>
      <c r="S203" s="82">
        <f>'[19]Flujo para el libro'!Q$14</f>
        <v>22235.72</v>
      </c>
      <c r="T203" s="81">
        <f>'[19]Flujo para el libro'!R$14</f>
        <v>44076.27</v>
      </c>
      <c r="U203" s="82">
        <f>'[19]Flujo para el libro'!S$14</f>
        <v>21907.6</v>
      </c>
      <c r="V203" s="81">
        <f>'[19]Flujo para el libro'!T$14</f>
        <v>44406.85</v>
      </c>
      <c r="W203" s="82">
        <f>'[19]Flujo para el libro'!U$14</f>
        <v>21577.03</v>
      </c>
      <c r="X203" s="81">
        <f>'[19]Flujo para el libro'!V$14</f>
        <v>44739.9</v>
      </c>
      <c r="Y203" s="82">
        <f>'[19]Flujo para el libro'!W$14</f>
        <v>21243.98</v>
      </c>
      <c r="Z203" s="81">
        <f>'[19]Flujo para el libro'!X$14</f>
        <v>45075.45</v>
      </c>
      <c r="AA203" s="82">
        <f>'[19]Flujo para el libro'!Y$14</f>
        <v>20908.43</v>
      </c>
      <c r="AB203" s="51">
        <f t="shared" si="40"/>
        <v>519299.55</v>
      </c>
      <c r="AC203" s="50">
        <f t="shared" si="41"/>
        <v>272506.99000000005</v>
      </c>
    </row>
    <row r="204" spans="1:29" s="1" customFormat="1" ht="12">
      <c r="A204" s="34" t="str">
        <f>+A142</f>
        <v>San Martín (Superville)</v>
      </c>
      <c r="B204" s="81"/>
      <c r="C204" s="82"/>
      <c r="D204" s="81"/>
      <c r="E204" s="82"/>
      <c r="F204" s="81">
        <f>'[14]Flujos Vencimientos'!$F$14</f>
        <v>215655.87</v>
      </c>
      <c r="G204" s="82">
        <f>'[14]Flujos Vencimientos'!$G$14</f>
        <v>163752.13</v>
      </c>
      <c r="H204" s="81"/>
      <c r="I204" s="82"/>
      <c r="J204" s="81"/>
      <c r="K204" s="82"/>
      <c r="L204" s="81"/>
      <c r="M204" s="82"/>
      <c r="N204" s="51">
        <f t="shared" si="37"/>
        <v>215655.87</v>
      </c>
      <c r="O204" s="50">
        <f t="shared" si="38"/>
        <v>163752.13</v>
      </c>
      <c r="P204" s="81"/>
      <c r="Q204" s="82"/>
      <c r="R204" s="81"/>
      <c r="S204" s="82"/>
      <c r="T204" s="81">
        <f>'[14]Flujos Vencimientos'!$R$14</f>
        <v>233781.75</v>
      </c>
      <c r="U204" s="82">
        <f>'[14]Flujos Vencimientos'!$S$14</f>
        <v>145626.25</v>
      </c>
      <c r="V204" s="81"/>
      <c r="W204" s="82"/>
      <c r="X204" s="81"/>
      <c r="Y204" s="82"/>
      <c r="Z204" s="81"/>
      <c r="AA204" s="82"/>
      <c r="AB204" s="51">
        <f t="shared" si="40"/>
        <v>449437.62</v>
      </c>
      <c r="AC204" s="50">
        <f t="shared" si="41"/>
        <v>309378.38</v>
      </c>
    </row>
    <row r="205" spans="1:29" s="1" customFormat="1" ht="12.75" thickBot="1">
      <c r="A205" s="34" t="str">
        <f>+A143</f>
        <v>Tupungato (DAABO)</v>
      </c>
      <c r="B205" s="291">
        <f>'[1]Flujos Vencimientos'!B$14</f>
        <v>9836</v>
      </c>
      <c r="C205" s="292"/>
      <c r="D205" s="291">
        <f>'[1]Flujos Vencimientos'!D$14</f>
        <v>9836</v>
      </c>
      <c r="E205" s="292"/>
      <c r="F205" s="291">
        <f>'[1]Flujos Vencimientos'!F$14</f>
        <v>9836</v>
      </c>
      <c r="G205" s="292"/>
      <c r="H205" s="291">
        <f>'[1]Flujos Vencimientos'!H$14</f>
        <v>9836</v>
      </c>
      <c r="I205" s="292"/>
      <c r="J205" s="291">
        <f>'[1]Flujos Vencimientos'!J$14</f>
        <v>9836</v>
      </c>
      <c r="K205" s="292"/>
      <c r="L205" s="291">
        <f>'[1]Flujos Vencimientos'!L$14</f>
        <v>9836</v>
      </c>
      <c r="M205" s="292"/>
      <c r="N205" s="51">
        <f t="shared" si="37"/>
        <v>59016</v>
      </c>
      <c r="O205" s="50">
        <f t="shared" si="38"/>
        <v>0</v>
      </c>
      <c r="P205" s="291">
        <f>'[1]Flujos Vencimientos'!N$14</f>
        <v>9836</v>
      </c>
      <c r="Q205" s="292"/>
      <c r="R205" s="291">
        <f>'[1]Flujos Vencimientos'!P$14</f>
        <v>9836</v>
      </c>
      <c r="S205" s="292"/>
      <c r="T205" s="291">
        <f>'[1]Flujos Vencimientos'!R$14</f>
        <v>9836</v>
      </c>
      <c r="U205" s="292"/>
      <c r="V205" s="291">
        <f>'[1]Flujos Vencimientos'!T$14</f>
        <v>9836</v>
      </c>
      <c r="W205" s="292"/>
      <c r="X205" s="291">
        <f>'[1]Flujos Vencimientos'!V$14</f>
        <v>9836</v>
      </c>
      <c r="Y205" s="292"/>
      <c r="Z205" s="291">
        <f>'[1]Flujos Vencimientos'!X$14</f>
        <v>9836</v>
      </c>
      <c r="AA205" s="292"/>
      <c r="AB205" s="51">
        <f t="shared" si="40"/>
        <v>118032</v>
      </c>
      <c r="AC205" s="50">
        <f t="shared" si="41"/>
        <v>0</v>
      </c>
    </row>
    <row r="206" spans="1:29" s="42" customFormat="1" ht="12.75" thickBot="1">
      <c r="A206" s="30" t="s">
        <v>121</v>
      </c>
      <c r="B206" s="28">
        <f>+B167+B185+B192+B196+B200</f>
        <v>4070582.76</v>
      </c>
      <c r="C206" s="27">
        <f>+C167+C185+C192+C196+C200</f>
        <v>1109533.3599999999</v>
      </c>
      <c r="D206" s="28">
        <f aca="true" t="shared" si="49" ref="D206:M206">+D167+D185+D192+D196+D200</f>
        <v>2761917.6199999996</v>
      </c>
      <c r="E206" s="27">
        <f t="shared" si="49"/>
        <v>452541.1500000001</v>
      </c>
      <c r="F206" s="28">
        <f t="shared" si="49"/>
        <v>3005153.87</v>
      </c>
      <c r="G206" s="27">
        <f t="shared" si="49"/>
        <v>601861.5900000001</v>
      </c>
      <c r="H206" s="28">
        <f t="shared" si="49"/>
        <v>2817370.7500000005</v>
      </c>
      <c r="I206" s="27">
        <f t="shared" si="49"/>
        <v>410243.19</v>
      </c>
      <c r="J206" s="28">
        <f t="shared" si="49"/>
        <v>2845539.0700000003</v>
      </c>
      <c r="K206" s="27">
        <f t="shared" si="49"/>
        <v>388598.06000000006</v>
      </c>
      <c r="L206" s="28">
        <f t="shared" si="49"/>
        <v>2874006.17</v>
      </c>
      <c r="M206" s="27">
        <f t="shared" si="49"/>
        <v>360232.68999999994</v>
      </c>
      <c r="N206" s="28">
        <f t="shared" si="37"/>
        <v>18374570.240000002</v>
      </c>
      <c r="O206" s="27">
        <f t="shared" si="38"/>
        <v>3323010.04</v>
      </c>
      <c r="P206" s="28">
        <f aca="true" t="shared" si="50" ref="P206:AA206">+P167+P185+P192+P196+P200</f>
        <v>2924487.52</v>
      </c>
      <c r="Q206" s="27">
        <f t="shared" si="50"/>
        <v>884525.5699999998</v>
      </c>
      <c r="R206" s="28">
        <f t="shared" si="50"/>
        <v>1332376.56</v>
      </c>
      <c r="S206" s="27">
        <f t="shared" si="50"/>
        <v>327446.78</v>
      </c>
      <c r="T206" s="28">
        <f t="shared" si="50"/>
        <v>1421340.41</v>
      </c>
      <c r="U206" s="27">
        <f t="shared" si="50"/>
        <v>459932.57999999996</v>
      </c>
      <c r="V206" s="28">
        <f t="shared" si="50"/>
        <v>1198990.2399999998</v>
      </c>
      <c r="W206" s="27">
        <f t="shared" si="50"/>
        <v>309349.79000000004</v>
      </c>
      <c r="X206" s="28">
        <f t="shared" si="50"/>
        <v>1210547.79</v>
      </c>
      <c r="Y206" s="27">
        <f t="shared" si="50"/>
        <v>298140.64</v>
      </c>
      <c r="Z206" s="28">
        <f t="shared" si="50"/>
        <v>1222232.8</v>
      </c>
      <c r="AA206" s="27">
        <f t="shared" si="50"/>
        <v>292909.27999999997</v>
      </c>
      <c r="AB206" s="28">
        <f t="shared" si="40"/>
        <v>27684545.56</v>
      </c>
      <c r="AC206" s="27">
        <f t="shared" si="41"/>
        <v>5895314.68</v>
      </c>
    </row>
    <row r="207" spans="1:29" s="295" customFormat="1" ht="6" customHeight="1" thickBot="1">
      <c r="A207" s="77"/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  <c r="AB207" s="294"/>
      <c r="AC207" s="294"/>
    </row>
    <row r="208" spans="1:29" ht="15.75" thickBot="1">
      <c r="A208" s="87" t="s">
        <v>93</v>
      </c>
      <c r="B208" s="28">
        <f>B206+B164</f>
        <v>4779168.25</v>
      </c>
      <c r="C208" s="27">
        <f aca="true" t="shared" si="51" ref="C208:M208">C206+C164</f>
        <v>1225081.2399999998</v>
      </c>
      <c r="D208" s="28">
        <f t="shared" si="51"/>
        <v>3475510.4699999997</v>
      </c>
      <c r="E208" s="27">
        <f t="shared" si="51"/>
        <v>556549.7000000001</v>
      </c>
      <c r="F208" s="28">
        <f t="shared" si="51"/>
        <v>3723789.87</v>
      </c>
      <c r="G208" s="27">
        <f t="shared" si="51"/>
        <v>716607.0900000001</v>
      </c>
      <c r="H208" s="28">
        <f t="shared" si="51"/>
        <v>3541085.16</v>
      </c>
      <c r="I208" s="27">
        <f t="shared" si="51"/>
        <v>520882.31</v>
      </c>
      <c r="J208" s="28">
        <f t="shared" si="51"/>
        <v>3574368.1700000004</v>
      </c>
      <c r="K208" s="27">
        <f t="shared" si="51"/>
        <v>502494.99000000005</v>
      </c>
      <c r="L208" s="28">
        <f t="shared" si="51"/>
        <v>3607985.69</v>
      </c>
      <c r="M208" s="27">
        <f t="shared" si="51"/>
        <v>470028.0099999999</v>
      </c>
      <c r="N208" s="28">
        <f>B208+D208+F208+H208+J208+L208</f>
        <v>22701907.610000003</v>
      </c>
      <c r="O208" s="27">
        <f>C208+E208+G208+I208+K208+M208</f>
        <v>3991643.3400000003</v>
      </c>
      <c r="P208" s="28">
        <f aca="true" t="shared" si="52" ref="P208:AA208">P206+P164</f>
        <v>3663654.31</v>
      </c>
      <c r="Q208" s="27">
        <f t="shared" si="52"/>
        <v>997526.9599999998</v>
      </c>
      <c r="R208" s="28">
        <f t="shared" si="52"/>
        <v>2076766.81</v>
      </c>
      <c r="S208" s="27">
        <f t="shared" si="52"/>
        <v>439982.30000000005</v>
      </c>
      <c r="T208" s="28">
        <f t="shared" si="52"/>
        <v>2170991.49</v>
      </c>
      <c r="U208" s="27">
        <f t="shared" si="52"/>
        <v>568375.21</v>
      </c>
      <c r="V208" s="28">
        <f t="shared" si="52"/>
        <v>1953938.8699999996</v>
      </c>
      <c r="W208" s="27">
        <f t="shared" si="52"/>
        <v>420916.7</v>
      </c>
      <c r="X208" s="28">
        <f t="shared" si="52"/>
        <v>1970831.8900000001</v>
      </c>
      <c r="Y208" s="27">
        <f t="shared" si="52"/>
        <v>405621.88</v>
      </c>
      <c r="Z208" s="28">
        <f t="shared" si="52"/>
        <v>1987889.56</v>
      </c>
      <c r="AA208" s="27">
        <f t="shared" si="52"/>
        <v>403457.45999999996</v>
      </c>
      <c r="AB208" s="28">
        <f>+N208+P208+R208+T208+V208+X208+Z208</f>
        <v>36525980.54</v>
      </c>
      <c r="AC208" s="27">
        <f>O208+Q208+S208+U208+W208+Y208+AA208</f>
        <v>7227523.85</v>
      </c>
    </row>
    <row r="211" spans="1:30" ht="27" thickBot="1">
      <c r="A211" s="21"/>
      <c r="B211" s="21"/>
      <c r="C211" s="21"/>
      <c r="D211" s="21"/>
      <c r="E211" s="21"/>
      <c r="F211" s="21"/>
      <c r="G211" s="21"/>
      <c r="H211" s="22" t="s">
        <v>137</v>
      </c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2" t="str">
        <f>H211</f>
        <v>AÑO 2015</v>
      </c>
      <c r="W211" s="21"/>
      <c r="X211" s="21"/>
      <c r="Y211" s="21"/>
      <c r="Z211" s="21"/>
      <c r="AA211" s="21"/>
      <c r="AB211" s="755"/>
      <c r="AC211" s="755"/>
      <c r="AD211" s="16" t="str">
        <f>V211</f>
        <v>AÑO 2015</v>
      </c>
    </row>
    <row r="212" spans="1:29" s="42" customFormat="1" ht="12.75" thickBot="1">
      <c r="A212" s="45" t="s">
        <v>96</v>
      </c>
      <c r="B212" s="44"/>
      <c r="C212" s="44"/>
      <c r="D212" s="44"/>
      <c r="E212" s="44"/>
      <c r="F212" s="44"/>
      <c r="G212" s="44"/>
      <c r="H212" s="44" t="s">
        <v>144</v>
      </c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 t="str">
        <f>H212</f>
        <v>TOMADOS EN DOLARES</v>
      </c>
      <c r="W212" s="44"/>
      <c r="X212" s="44"/>
      <c r="Y212" s="44"/>
      <c r="Z212" s="44"/>
      <c r="AA212" s="44"/>
      <c r="AB212" s="44"/>
      <c r="AC212" s="52"/>
    </row>
    <row r="213" spans="1:29" ht="12.75">
      <c r="A213" s="75" t="s">
        <v>122</v>
      </c>
      <c r="B213" s="69">
        <f>SUM(B214:B225)</f>
        <v>768430.99</v>
      </c>
      <c r="C213" s="70">
        <f>SUM(C214:C225)</f>
        <v>109643.51</v>
      </c>
      <c r="D213" s="69">
        <f aca="true" t="shared" si="53" ref="D213:M213">SUM(D214:D225)</f>
        <v>771214.78</v>
      </c>
      <c r="E213" s="70">
        <f t="shared" si="53"/>
        <v>98208.39</v>
      </c>
      <c r="F213" s="69">
        <f t="shared" si="53"/>
        <v>774009.13</v>
      </c>
      <c r="G213" s="70">
        <f t="shared" si="53"/>
        <v>107809.90000000001</v>
      </c>
      <c r="H213" s="69">
        <f t="shared" si="53"/>
        <v>776813.1400000001</v>
      </c>
      <c r="I213" s="70">
        <f t="shared" si="53"/>
        <v>103433.23000000001</v>
      </c>
      <c r="J213" s="69">
        <f t="shared" si="53"/>
        <v>779627.75</v>
      </c>
      <c r="K213" s="70">
        <f t="shared" si="53"/>
        <v>105943.87000000001</v>
      </c>
      <c r="L213" s="69">
        <f t="shared" si="53"/>
        <v>782452.1199999999</v>
      </c>
      <c r="M213" s="70">
        <f t="shared" si="53"/>
        <v>101611.46</v>
      </c>
      <c r="N213" s="69">
        <f aca="true" t="shared" si="54" ref="N213:N226">B213+D213+F213+H213+J213+L213</f>
        <v>4652547.91</v>
      </c>
      <c r="O213" s="70">
        <f aca="true" t="shared" si="55" ref="O213:O226">C213+E213+G213+I213+K213+M213</f>
        <v>626650.36</v>
      </c>
      <c r="P213" s="69">
        <f aca="true" t="shared" si="56" ref="P213:AA213">SUM(P214:P225)</f>
        <v>785287.1700000002</v>
      </c>
      <c r="Q213" s="70">
        <f t="shared" si="56"/>
        <v>104045.16000000002</v>
      </c>
      <c r="R213" s="69">
        <f t="shared" si="56"/>
        <v>788132.0199999999</v>
      </c>
      <c r="S213" s="70">
        <f t="shared" si="56"/>
        <v>103083.42</v>
      </c>
      <c r="T213" s="69">
        <f t="shared" si="56"/>
        <v>790987.6599999999</v>
      </c>
      <c r="U213" s="70">
        <f t="shared" si="56"/>
        <v>98819.3</v>
      </c>
      <c r="V213" s="69">
        <f t="shared" si="56"/>
        <v>793853.19</v>
      </c>
      <c r="W213" s="70">
        <f t="shared" si="56"/>
        <v>101134.70999999999</v>
      </c>
      <c r="X213" s="69">
        <f t="shared" si="56"/>
        <v>796729.5499999999</v>
      </c>
      <c r="Y213" s="70">
        <f t="shared" si="56"/>
        <v>96917.23999999999</v>
      </c>
      <c r="Z213" s="69">
        <f t="shared" si="56"/>
        <v>799615.86</v>
      </c>
      <c r="AA213" s="70">
        <f t="shared" si="56"/>
        <v>99152.36</v>
      </c>
      <c r="AB213" s="69">
        <f aca="true" t="shared" si="57" ref="AB213:AB226">+N213+P213+R213+T213+V213+X213+Z213</f>
        <v>9407153.36</v>
      </c>
      <c r="AC213" s="70">
        <f aca="true" t="shared" si="58" ref="AC213:AC226">O213+Q213+S213+U213+W213+Y213+AA213</f>
        <v>1229802.55</v>
      </c>
    </row>
    <row r="214" spans="1:29" ht="12.75">
      <c r="A214" s="34" t="s">
        <v>1</v>
      </c>
      <c r="B214" s="67">
        <f>'[24]Flujo Vencimientos'!B$15</f>
        <v>82911.62</v>
      </c>
      <c r="C214" s="68">
        <f>'[24]Flujo Vencimientos'!C$15</f>
        <v>11830.21</v>
      </c>
      <c r="D214" s="67">
        <f>'[24]Flujo Vencimientos'!D$15</f>
        <v>83211.95000000001</v>
      </c>
      <c r="E214" s="68">
        <f>'[24]Flujo Vencimientos'!E$15</f>
        <v>10596.44</v>
      </c>
      <c r="F214" s="67">
        <f>'[24]Flujo Vencimientos'!F$15</f>
        <v>83513.48</v>
      </c>
      <c r="G214" s="68">
        <f>'[24]Flujo Vencimientos'!G$15</f>
        <v>11632.380000000001</v>
      </c>
      <c r="H214" s="67">
        <f>'[24]Flujo Vencimientos'!H$15</f>
        <v>83815.99</v>
      </c>
      <c r="I214" s="68">
        <f>'[24]Flujo Vencimientos'!I$15</f>
        <v>11160.18</v>
      </c>
      <c r="J214" s="67">
        <f>'[24]Flujo Vencimientos'!J$15</f>
        <v>84119.72</v>
      </c>
      <c r="K214" s="68">
        <f>'[24]Flujo Vencimientos'!K$15</f>
        <v>11431.060000000001</v>
      </c>
      <c r="L214" s="67">
        <f>'[24]Flujo Vencimientos'!L$15</f>
        <v>84424.42000000001</v>
      </c>
      <c r="M214" s="68">
        <f>'[24]Flujo Vencimientos'!M$15</f>
        <v>10963.59</v>
      </c>
      <c r="N214" s="73">
        <f t="shared" si="54"/>
        <v>501997.18000000005</v>
      </c>
      <c r="O214" s="74">
        <f t="shared" si="55"/>
        <v>67613.86</v>
      </c>
      <c r="P214" s="67">
        <f>'[24]Flujo Vencimientos'!N$15</f>
        <v>84730.35</v>
      </c>
      <c r="Q214" s="68">
        <f>'[24]Flujo Vencimientos'!O$15</f>
        <v>11226.2</v>
      </c>
      <c r="R214" s="67">
        <f>'[24]Flujo Vencimientos'!P$15</f>
        <v>85037.27</v>
      </c>
      <c r="S214" s="68">
        <f>'[24]Flujo Vencimientos'!Q$15</f>
        <v>11122.43</v>
      </c>
      <c r="T214" s="67">
        <f>'[24]Flujo Vencimientos'!R$15</f>
        <v>85345.42</v>
      </c>
      <c r="U214" s="68">
        <f>'[24]Flujo Vencimientos'!S$15</f>
        <v>10662.34</v>
      </c>
      <c r="V214" s="67">
        <f>'[24]Flujo Vencimientos'!T$15</f>
        <v>85654.57</v>
      </c>
      <c r="W214" s="68">
        <f>'[24]Flujo Vencimientos'!U$15</f>
        <v>10912.19</v>
      </c>
      <c r="X214" s="67">
        <f>'[24]Flujo Vencimientos'!V$15</f>
        <v>85964.95</v>
      </c>
      <c r="Y214" s="68">
        <f>'[24]Flujo Vencimientos'!W$15</f>
        <v>10457.080000000002</v>
      </c>
      <c r="Z214" s="67">
        <f>'[24]Flujo Vencimientos'!X$15</f>
        <v>86276.35</v>
      </c>
      <c r="AA214" s="68">
        <f>'[24]Flujo Vencimientos'!Y$15</f>
        <v>10698.25</v>
      </c>
      <c r="AB214" s="73">
        <f t="shared" si="57"/>
        <v>1015006.09</v>
      </c>
      <c r="AC214" s="74">
        <f t="shared" si="58"/>
        <v>132692.34999999998</v>
      </c>
    </row>
    <row r="215" spans="1:29" ht="12.75">
      <c r="A215" s="34" t="s">
        <v>21</v>
      </c>
      <c r="B215" s="67">
        <f>'[26]Flujo de Vencimientos'!B$15</f>
        <v>50180.369999999995</v>
      </c>
      <c r="C215" s="68">
        <f>'[26]Flujo de Vencimientos'!C$15</f>
        <v>7159.99</v>
      </c>
      <c r="D215" s="67">
        <f>'[26]Flujo de Vencimientos'!D$15</f>
        <v>50362.17</v>
      </c>
      <c r="E215" s="68">
        <f>'[26]Flujo de Vencimientos'!E$15</f>
        <v>6413.23</v>
      </c>
      <c r="F215" s="67">
        <f>'[26]Flujo de Vencimientos'!F$15</f>
        <v>50544.63</v>
      </c>
      <c r="G215" s="68">
        <f>'[26]Flujo de Vencimientos'!G$15</f>
        <v>7040.24</v>
      </c>
      <c r="H215" s="67">
        <f>'[26]Flujo de Vencimientos'!H$15</f>
        <v>50727.759999999995</v>
      </c>
      <c r="I215" s="68">
        <f>'[26]Flujo de Vencimientos'!I$15</f>
        <v>6754.42</v>
      </c>
      <c r="J215" s="67">
        <f>'[26]Flujo de Vencimientos'!J$15</f>
        <v>50911.54</v>
      </c>
      <c r="K215" s="68">
        <f>'[26]Flujo de Vencimientos'!K$15</f>
        <v>6918.379999999999</v>
      </c>
      <c r="L215" s="67">
        <f>'[26]Flujo de Vencimientos'!L$15</f>
        <v>51096</v>
      </c>
      <c r="M215" s="68">
        <f>'[26]Flujo de Vencimientos'!M$15</f>
        <v>6635.48</v>
      </c>
      <c r="N215" s="73">
        <f t="shared" si="54"/>
        <v>303822.47</v>
      </c>
      <c r="O215" s="74">
        <f t="shared" si="55"/>
        <v>40921.73999999999</v>
      </c>
      <c r="P215" s="67">
        <f>'[26]Flujo de Vencimientos'!N$15</f>
        <v>51281.119999999995</v>
      </c>
      <c r="Q215" s="68">
        <f>'[26]Flujo de Vencimientos'!O$15</f>
        <v>6794.38</v>
      </c>
      <c r="R215" s="67">
        <f>'[26]Flujo de Vencimientos'!P$15</f>
        <v>51466.909999999996</v>
      </c>
      <c r="S215" s="68">
        <f>'[26]Flujo de Vencimientos'!Q$15</f>
        <v>6731.6</v>
      </c>
      <c r="T215" s="67">
        <f>'[26]Flujo de Vencimientos'!R$15</f>
        <v>51653.369999999995</v>
      </c>
      <c r="U215" s="68">
        <f>'[26]Flujo de Vencimientos'!S$15</f>
        <v>6453.14</v>
      </c>
      <c r="V215" s="67">
        <f>'[26]Flujo de Vencimientos'!T$15</f>
        <v>51840.509999999995</v>
      </c>
      <c r="W215" s="68">
        <f>'[26]Flujo de Vencimientos'!U$15</f>
        <v>6604.34</v>
      </c>
      <c r="X215" s="67">
        <f>'[26]Flujo de Vencimientos'!V$15</f>
        <v>52028.329999999994</v>
      </c>
      <c r="Y215" s="68">
        <f>'[26]Flujo de Vencimientos'!W$15</f>
        <v>6328.950000000001</v>
      </c>
      <c r="Z215" s="67">
        <f>'[26]Flujo de Vencimientos'!X$15</f>
        <v>52216.829999999994</v>
      </c>
      <c r="AA215" s="68">
        <f>'[26]Flujo de Vencimientos'!Y$15</f>
        <v>6474.88</v>
      </c>
      <c r="AB215" s="73">
        <f t="shared" si="57"/>
        <v>614309.5399999999</v>
      </c>
      <c r="AC215" s="74">
        <f t="shared" si="58"/>
        <v>80309.02999999998</v>
      </c>
    </row>
    <row r="216" spans="1:29" ht="12.75">
      <c r="A216" s="34" t="s">
        <v>22</v>
      </c>
      <c r="B216" s="67">
        <f>'[41]Flujo Vencimientos'!B$15</f>
        <v>78945.37</v>
      </c>
      <c r="C216" s="68">
        <f>'[41]Flujo Vencimientos'!C$15</f>
        <v>11264.3</v>
      </c>
      <c r="D216" s="67">
        <f>'[41]Flujo Vencimientos'!D$15</f>
        <v>79231.33</v>
      </c>
      <c r="E216" s="68">
        <f>'[41]Flujo Vencimientos'!E$15</f>
        <v>10089.49</v>
      </c>
      <c r="F216" s="67">
        <f>'[41]Flujo Vencimientos'!F$15</f>
        <v>79518.45000000001</v>
      </c>
      <c r="G216" s="68">
        <f>'[41]Flujo Vencimientos'!G$15</f>
        <v>11075.93</v>
      </c>
      <c r="H216" s="67">
        <f>'[41]Flujo Vencimientos'!H$15</f>
        <v>79806.48999999999</v>
      </c>
      <c r="I216" s="68">
        <f>'[41]Flujo Vencimientos'!I$15</f>
        <v>10626.27</v>
      </c>
      <c r="J216" s="67">
        <f>'[41]Flujo Vencimientos'!J$15</f>
        <v>80095.68000000001</v>
      </c>
      <c r="K216" s="68">
        <f>'[41]Flujo Vencimientos'!K$15</f>
        <v>10884.24</v>
      </c>
      <c r="L216" s="67">
        <f>'[41]Flujo Vencimientos'!L$15</f>
        <v>80385.81</v>
      </c>
      <c r="M216" s="68">
        <f>'[41]Flujo Vencimientos'!M$15</f>
        <v>10439.12</v>
      </c>
      <c r="N216" s="73">
        <f t="shared" si="54"/>
        <v>477983.13</v>
      </c>
      <c r="O216" s="74">
        <f t="shared" si="55"/>
        <v>64379.350000000006</v>
      </c>
      <c r="P216" s="67">
        <f>'[41]Flujo Vencimientos'!N$15</f>
        <v>80677.11</v>
      </c>
      <c r="Q216" s="67">
        <f>'[41]Flujo Vencimientos'!O$15</f>
        <v>10689.17</v>
      </c>
      <c r="R216" s="67">
        <f>'[41]Flujo Vencimientos'!P$15</f>
        <v>80969.34</v>
      </c>
      <c r="S216" s="67">
        <f>'[41]Flujo Vencimientos'!Q$15</f>
        <v>10590.369999999999</v>
      </c>
      <c r="T216" s="67">
        <f>'[41]Flujo Vencimientos'!R$15</f>
        <v>81262.75</v>
      </c>
      <c r="U216" s="67">
        <f>'[41]Flujo Vencimientos'!S$15</f>
        <v>10152.3</v>
      </c>
      <c r="V216" s="67">
        <f>'[41]Flujo Vencimientos'!T$15</f>
        <v>81557.11</v>
      </c>
      <c r="W216" s="67">
        <f>'[41]Flujo Vencimientos'!U$15</f>
        <v>10390.18</v>
      </c>
      <c r="X216" s="67">
        <f>'[41]Flujo Vencimientos'!V$15</f>
        <v>81852.65000000001</v>
      </c>
      <c r="Y216" s="67">
        <f>'[41]Flujo Vencimientos'!W$15</f>
        <v>9956.88</v>
      </c>
      <c r="Z216" s="67">
        <f>'[41]Flujo Vencimientos'!X$15</f>
        <v>82149.14</v>
      </c>
      <c r="AA216" s="67">
        <f>'[41]Flujo Vencimientos'!Y$15</f>
        <v>10186.47</v>
      </c>
      <c r="AB216" s="73">
        <f t="shared" si="57"/>
        <v>966451.23</v>
      </c>
      <c r="AC216" s="74">
        <f t="shared" si="58"/>
        <v>126344.72</v>
      </c>
    </row>
    <row r="217" spans="1:29" ht="12.75">
      <c r="A217" s="34" t="s">
        <v>16</v>
      </c>
      <c r="B217" s="67">
        <f>'[39]Flujo Vencimiento'!B$15</f>
        <v>169172.2</v>
      </c>
      <c r="C217" s="68">
        <f>'[39]Flujo Vencimiento'!C$15</f>
        <v>24138.309999999998</v>
      </c>
      <c r="D217" s="67">
        <f>'[39]Flujo Vencimiento'!D$15</f>
        <v>169785.06</v>
      </c>
      <c r="E217" s="68">
        <f>'[39]Flujo Vencimiento'!E$15</f>
        <v>21620.829999999998</v>
      </c>
      <c r="F217" s="67">
        <f>'[39]Flujo Vencimiento'!F$15</f>
        <v>170400.25</v>
      </c>
      <c r="G217" s="68">
        <f>'[39]Flujo Vencimiento'!G$15</f>
        <v>23734.629999999997</v>
      </c>
      <c r="H217" s="67">
        <f>'[39]Flujo Vencimiento'!H$15</f>
        <v>171017.55</v>
      </c>
      <c r="I217" s="68">
        <f>'[39]Flujo Vencimiento'!I$15</f>
        <v>22771.09</v>
      </c>
      <c r="J217" s="67">
        <f>'[39]Flujo Vencimiento'!J$15</f>
        <v>171637.2</v>
      </c>
      <c r="K217" s="68">
        <f>'[39]Flujo Vencimiento'!K$15</f>
        <v>23323.829999999998</v>
      </c>
      <c r="L217" s="67">
        <f>'[39]Flujo Vencimiento'!L$15</f>
        <v>172258.99</v>
      </c>
      <c r="M217" s="68">
        <f>'[39]Flujo Vencimiento'!M$15</f>
        <v>22370.05</v>
      </c>
      <c r="N217" s="73">
        <f t="shared" si="54"/>
        <v>1024271.25</v>
      </c>
      <c r="O217" s="74">
        <f t="shared" si="55"/>
        <v>137958.74</v>
      </c>
      <c r="P217" s="67">
        <f>'[39]Flujo Vencimiento'!N$15</f>
        <v>172883.14</v>
      </c>
      <c r="Q217" s="68">
        <f>'[39]Flujo Vencimiento'!O$15</f>
        <v>22905.809999999998</v>
      </c>
      <c r="R217" s="67">
        <f>'[39]Flujo Vencimiento'!P$15</f>
        <v>173509.43</v>
      </c>
      <c r="S217" s="68">
        <f>'[39]Flujo Vencimiento'!Q$15</f>
        <v>22694.07</v>
      </c>
      <c r="T217" s="67">
        <f>'[39]Flujo Vencimiento'!R$15</f>
        <v>174138.12</v>
      </c>
      <c r="U217" s="68">
        <f>'[39]Flujo Vencimiento'!S$15</f>
        <v>21755.309999999998</v>
      </c>
      <c r="V217" s="67">
        <f>'[39]Flujo Vencimiento'!T$15</f>
        <v>174768.96</v>
      </c>
      <c r="W217" s="68">
        <f>'[39]Flujo Vencimiento'!U$15</f>
        <v>22265.07</v>
      </c>
      <c r="X217" s="67">
        <f>'[39]Flujo Vencimiento'!V$15</f>
        <v>175402.21</v>
      </c>
      <c r="Y217" s="68">
        <f>'[39]Flujo Vencimiento'!W$15</f>
        <v>21336.57</v>
      </c>
      <c r="Z217" s="67">
        <f>'[39]Flujo Vencimiento'!X$15</f>
        <v>176037.63</v>
      </c>
      <c r="AA217" s="68">
        <f>'[39]Flujo Vencimiento'!Y$15</f>
        <v>21828.64</v>
      </c>
      <c r="AB217" s="73">
        <f t="shared" si="57"/>
        <v>2071010.7399999998</v>
      </c>
      <c r="AC217" s="74">
        <f t="shared" si="58"/>
        <v>270744.21</v>
      </c>
    </row>
    <row r="218" spans="1:29" ht="12.75">
      <c r="A218" s="34" t="s">
        <v>15</v>
      </c>
      <c r="B218" s="67">
        <f>'[36]Flujo de Vencimientos'!B$15</f>
        <v>16531.07</v>
      </c>
      <c r="C218" s="68">
        <f>'[36]Flujo de Vencimientos'!C$15</f>
        <v>2358.72</v>
      </c>
      <c r="D218" s="67">
        <f>'[36]Flujo de Vencimientos'!D$15</f>
        <v>16590.96</v>
      </c>
      <c r="E218" s="68">
        <f>'[36]Flujo de Vencimientos'!E$15</f>
        <v>2112.72</v>
      </c>
      <c r="F218" s="67">
        <f>'[36]Flujo de Vencimientos'!F$15</f>
        <v>16651.07</v>
      </c>
      <c r="G218" s="68">
        <f>'[36]Flujo de Vencimientos'!G$15</f>
        <v>2319.3</v>
      </c>
      <c r="H218" s="67">
        <f>'[36]Flujo de Vencimientos'!H$15</f>
        <v>16711.4</v>
      </c>
      <c r="I218" s="68">
        <f>'[36]Flujo de Vencimientos'!I$15</f>
        <v>2225.14</v>
      </c>
      <c r="J218" s="67">
        <f>'[36]Flujo de Vencimientos'!J$15</f>
        <v>16771.940000000002</v>
      </c>
      <c r="K218" s="68">
        <f>'[36]Flujo de Vencimientos'!K$15</f>
        <v>2279.18</v>
      </c>
      <c r="L218" s="67">
        <f>'[36]Flujo de Vencimientos'!L$15</f>
        <v>16832.71</v>
      </c>
      <c r="M218" s="68">
        <f>'[36]Flujo de Vencimientos'!M$15</f>
        <v>2185.95</v>
      </c>
      <c r="N218" s="73">
        <f t="shared" si="54"/>
        <v>100089.15</v>
      </c>
      <c r="O218" s="74">
        <f t="shared" si="55"/>
        <v>13481.009999999998</v>
      </c>
      <c r="P218" s="67">
        <f>'[36]Flujo de Vencimientos'!N$15</f>
        <v>16893.690000000002</v>
      </c>
      <c r="Q218" s="68">
        <f>'[36]Flujo de Vencimientos'!O$15</f>
        <v>2238.3</v>
      </c>
      <c r="R218" s="67">
        <f>'[36]Flujo de Vencimientos'!P$15</f>
        <v>16954.9</v>
      </c>
      <c r="S218" s="68">
        <f>'[36]Flujo de Vencimientos'!Q$15</f>
        <v>2217.59</v>
      </c>
      <c r="T218" s="67">
        <f>'[36]Flujo de Vencimientos'!R$15</f>
        <v>17016.33</v>
      </c>
      <c r="U218" s="68">
        <f>'[36]Flujo de Vencimientos'!S$15</f>
        <v>2125.88</v>
      </c>
      <c r="V218" s="67">
        <f>'[36]Flujo de Vencimientos'!T$15</f>
        <v>17077.98</v>
      </c>
      <c r="W218" s="68">
        <f>'[36]Flujo de Vencimientos'!U$15</f>
        <v>2175.69</v>
      </c>
      <c r="X218" s="67">
        <f>'[36]Flujo de Vencimientos'!V$15</f>
        <v>17139.85</v>
      </c>
      <c r="Y218" s="68">
        <f>'[36]Flujo de Vencimientos'!W$15</f>
        <v>2084.96</v>
      </c>
      <c r="Z218" s="67">
        <f>'[36]Flujo de Vencimientos'!X$15</f>
        <v>17201.95</v>
      </c>
      <c r="AA218" s="68">
        <f>'[36]Flujo de Vencimientos'!Y$15</f>
        <v>2133.0699999999997</v>
      </c>
      <c r="AB218" s="73">
        <f t="shared" si="57"/>
        <v>202373.85000000003</v>
      </c>
      <c r="AC218" s="74">
        <f t="shared" si="58"/>
        <v>26456.499999999996</v>
      </c>
    </row>
    <row r="219" spans="1:29" ht="12.75">
      <c r="A219" s="34" t="s">
        <v>14</v>
      </c>
      <c r="B219" s="67">
        <f>'[34]Flujo de Vencimiento'!B$15</f>
        <v>10730.63</v>
      </c>
      <c r="C219" s="68">
        <f>'[34]Flujo de Vencimiento'!C$15</f>
        <v>1531.1200000000001</v>
      </c>
      <c r="D219" s="67">
        <f>'[34]Flujo de Vencimiento'!D$15</f>
        <v>10769.439999999999</v>
      </c>
      <c r="E219" s="68">
        <f>'[34]Flujo de Vencimiento'!E$15</f>
        <v>1371.3999999999999</v>
      </c>
      <c r="F219" s="67">
        <f>'[34]Flujo de Vencimiento'!F$15</f>
        <v>10808.52</v>
      </c>
      <c r="G219" s="68">
        <f>'[34]Flujo de Vencimiento'!G$15</f>
        <v>1505.47</v>
      </c>
      <c r="H219" s="67">
        <f>'[34]Flujo de Vencimiento'!H$15</f>
        <v>10847.619999999999</v>
      </c>
      <c r="I219" s="68">
        <f>'[34]Flujo de Vencimiento'!I$15</f>
        <v>1444.39</v>
      </c>
      <c r="J219" s="67">
        <f>'[34]Flujo de Vencimiento'!J$15</f>
        <v>10886.98</v>
      </c>
      <c r="K219" s="68">
        <f>'[34]Flujo de Vencimiento'!K$15</f>
        <v>1479.42</v>
      </c>
      <c r="L219" s="67">
        <f>'[34]Flujo de Vencimiento'!L$15</f>
        <v>10926.369999999999</v>
      </c>
      <c r="M219" s="68">
        <f>'[34]Flujo de Vencimiento'!M$15</f>
        <v>1418.94</v>
      </c>
      <c r="N219" s="73">
        <f t="shared" si="54"/>
        <v>64969.56</v>
      </c>
      <c r="O219" s="74">
        <f t="shared" si="55"/>
        <v>8750.74</v>
      </c>
      <c r="P219" s="67">
        <f>'[34]Flujo de Vencimiento'!N$15</f>
        <v>10966.01</v>
      </c>
      <c r="Q219" s="68">
        <f>'[34]Flujo de Vencimiento'!O$15</f>
        <v>1452.91</v>
      </c>
      <c r="R219" s="67">
        <f>'[34]Flujo de Vencimiento'!P$15</f>
        <v>11005.679999999998</v>
      </c>
      <c r="S219" s="68">
        <f>'[34]Flujo de Vencimiento'!Q$15</f>
        <v>1439.52</v>
      </c>
      <c r="T219" s="67">
        <f>'[34]Flujo de Vencimiento'!R$15</f>
        <v>11045.609999999999</v>
      </c>
      <c r="U219" s="68">
        <f>'[34]Flujo de Vencimiento'!S$15</f>
        <v>1379.9499999999998</v>
      </c>
      <c r="V219" s="67">
        <f>'[34]Flujo de Vencimiento'!T$15</f>
        <v>11085.57</v>
      </c>
      <c r="W219" s="68">
        <f>'[34]Flujo de Vencimiento'!U$15</f>
        <v>1412.25</v>
      </c>
      <c r="X219" s="67">
        <f>'[34]Flujo de Vencimiento'!V$15</f>
        <v>11125.8</v>
      </c>
      <c r="Y219" s="68">
        <f>'[34]Flujo de Vencimiento'!W$15</f>
        <v>1353.38</v>
      </c>
      <c r="Z219" s="67">
        <f>'[34]Flujo de Vencimiento'!X$15</f>
        <v>11166.039999999999</v>
      </c>
      <c r="AA219" s="68">
        <f>'[34]Flujo de Vencimiento'!Y$15</f>
        <v>1384.58</v>
      </c>
      <c r="AB219" s="73">
        <f t="shared" si="57"/>
        <v>131364.27</v>
      </c>
      <c r="AC219" s="74">
        <f t="shared" si="58"/>
        <v>17173.33</v>
      </c>
    </row>
    <row r="220" spans="1:29" ht="12.75">
      <c r="A220" s="34" t="s">
        <v>13</v>
      </c>
      <c r="B220" s="67">
        <f>'[32]Flujo de Vencimientos'!B$15</f>
        <v>39805.85</v>
      </c>
      <c r="C220" s="68">
        <f>'[32]Flujo de Vencimientos'!C$15</f>
        <v>5679.71</v>
      </c>
      <c r="D220" s="67">
        <f>'[32]Flujo de Vencimientos'!D$15</f>
        <v>39950.130000000005</v>
      </c>
      <c r="E220" s="68">
        <f>'[32]Flujo de Vencimientos'!E$15</f>
        <v>5087.36</v>
      </c>
      <c r="F220" s="67">
        <f>'[32]Flujo de Vencimientos'!F$15</f>
        <v>40094.81</v>
      </c>
      <c r="G220" s="68">
        <f>'[32]Flujo de Vencimientos'!G$15</f>
        <v>5584.709999999999</v>
      </c>
      <c r="H220" s="67">
        <f>'[32]Flujo de Vencimientos'!H$15</f>
        <v>40240.130000000005</v>
      </c>
      <c r="I220" s="68">
        <f>'[32]Flujo de Vencimientos'!I$15</f>
        <v>5357.9800000000005</v>
      </c>
      <c r="J220" s="67">
        <f>'[32]Flujo de Vencimientos'!J$15</f>
        <v>40385.86</v>
      </c>
      <c r="K220" s="68">
        <f>'[32]Flujo de Vencimientos'!K$15</f>
        <v>5488.03</v>
      </c>
      <c r="L220" s="67">
        <f>'[32]Flujo de Vencimientos'!L$15</f>
        <v>40532.240000000005</v>
      </c>
      <c r="M220" s="68">
        <f>'[32]Flujo de Vencimientos'!M$15</f>
        <v>5263.62</v>
      </c>
      <c r="N220" s="73">
        <f t="shared" si="54"/>
        <v>241009.02000000002</v>
      </c>
      <c r="O220" s="74">
        <f t="shared" si="55"/>
        <v>32461.409999999996</v>
      </c>
      <c r="P220" s="67">
        <f>'[32]Flujo de Vencimientos'!N$15</f>
        <v>40679.03</v>
      </c>
      <c r="Q220" s="68">
        <f>'[32]Flujo de Vencimientos'!O$15</f>
        <v>5389.72</v>
      </c>
      <c r="R220" s="67">
        <f>'[32]Flujo de Vencimientos'!P$15</f>
        <v>40826.46</v>
      </c>
      <c r="S220" s="68">
        <f>'[32]Flujo de Vencimientos'!Q$15</f>
        <v>5339.860000000001</v>
      </c>
      <c r="T220" s="67">
        <f>'[32]Flujo de Vencimientos'!R$15</f>
        <v>40974.32</v>
      </c>
      <c r="U220" s="68">
        <f>'[32]Flujo de Vencimientos'!S$15</f>
        <v>5119</v>
      </c>
      <c r="V220" s="67">
        <f>'[32]Flujo de Vencimientos'!T$15</f>
        <v>41122.83</v>
      </c>
      <c r="W220" s="68">
        <f>'[32]Flujo de Vencimientos'!U$15</f>
        <v>5238.96</v>
      </c>
      <c r="X220" s="67">
        <f>'[32]Flujo de Vencimientos'!V$15</f>
        <v>41271.76</v>
      </c>
      <c r="Y220" s="68">
        <f>'[32]Flujo de Vencimientos'!W$15</f>
        <v>5020.47</v>
      </c>
      <c r="Z220" s="67">
        <f>'[32]Flujo de Vencimientos'!X$15</f>
        <v>41421.350000000006</v>
      </c>
      <c r="AA220" s="68">
        <f>'[32]Flujo de Vencimientos'!Y$15</f>
        <v>5136.25</v>
      </c>
      <c r="AB220" s="73">
        <f t="shared" si="57"/>
        <v>487304.77000000014</v>
      </c>
      <c r="AC220" s="74">
        <f t="shared" si="58"/>
        <v>63705.67</v>
      </c>
    </row>
    <row r="221" spans="1:29" ht="12.75">
      <c r="A221" s="34" t="s">
        <v>84</v>
      </c>
      <c r="B221" s="67">
        <f>'[18]Flujo Vencimientos'!B$15</f>
        <v>37134.26</v>
      </c>
      <c r="C221" s="68">
        <f>'[18]Flujo Vencimientos'!C$15</f>
        <v>5298.5</v>
      </c>
      <c r="D221" s="67">
        <f>'[18]Flujo Vencimientos'!D$15</f>
        <v>37268.8</v>
      </c>
      <c r="E221" s="68">
        <f>'[18]Flujo Vencimientos'!E$15</f>
        <v>4745.91</v>
      </c>
      <c r="F221" s="67">
        <f>'[18]Flujo Vencimientos'!F$15</f>
        <v>37403.83</v>
      </c>
      <c r="G221" s="68">
        <f>'[18]Flujo Vencimientos'!G$15</f>
        <v>5209.89</v>
      </c>
      <c r="H221" s="67">
        <f>'[18]Flujo Vencimientos'!H$15</f>
        <v>37539.340000000004</v>
      </c>
      <c r="I221" s="68">
        <f>'[18]Flujo Vencimientos'!I$15</f>
        <v>4998.4</v>
      </c>
      <c r="J221" s="67">
        <f>'[18]Flujo Vencimientos'!J$15</f>
        <v>37675.340000000004</v>
      </c>
      <c r="K221" s="68">
        <f>'[18]Flujo Vencimientos'!K$15</f>
        <v>5119.73</v>
      </c>
      <c r="L221" s="67">
        <f>'[18]Flujo Vencimientos'!L$15</f>
        <v>37811.840000000004</v>
      </c>
      <c r="M221" s="68">
        <f>'[18]Flujo Vencimientos'!M$15</f>
        <v>4910.33</v>
      </c>
      <c r="N221" s="83">
        <f t="shared" si="54"/>
        <v>224833.41</v>
      </c>
      <c r="O221" s="74">
        <f t="shared" si="55"/>
        <v>30282.759999999995</v>
      </c>
      <c r="P221" s="67">
        <f>'[18]Flujo Vencimientos'!N$15</f>
        <v>37948.83</v>
      </c>
      <c r="Q221" s="68">
        <f>'[18]Flujo Vencimientos'!O$15</f>
        <v>5027.969999999999</v>
      </c>
      <c r="R221" s="67">
        <f>'[18]Flujo Vencimientos'!P$15</f>
        <v>38086.32</v>
      </c>
      <c r="S221" s="68">
        <f>'[18]Flujo Vencimientos'!Q$15</f>
        <v>4981.469999999999</v>
      </c>
      <c r="T221" s="67">
        <f>'[18]Flujo Vencimientos'!R$15</f>
        <v>38224.31</v>
      </c>
      <c r="U221" s="68">
        <f>'[18]Flujo Vencimientos'!S$15</f>
        <v>4775.43</v>
      </c>
      <c r="V221" s="67">
        <f>'[18]Flujo Vencimientos'!T$15</f>
        <v>38362.8</v>
      </c>
      <c r="W221" s="68">
        <f>'[18]Flujo Vencimientos'!U$15</f>
        <v>4887.31</v>
      </c>
      <c r="X221" s="67">
        <f>'[18]Flujo Vencimientos'!V$15</f>
        <v>38501.79</v>
      </c>
      <c r="Y221" s="68">
        <f>'[18]Flujo Vencimientos'!W$15</f>
        <v>4683.48</v>
      </c>
      <c r="Z221" s="67">
        <f>'[18]Flujo Vencimientos'!X$15</f>
        <v>38641.28</v>
      </c>
      <c r="AA221" s="68">
        <f>'[18]Flujo Vencimientos'!Y$15</f>
        <v>4791.52</v>
      </c>
      <c r="AB221" s="73">
        <f t="shared" si="57"/>
        <v>454598.74</v>
      </c>
      <c r="AC221" s="74">
        <f t="shared" si="58"/>
        <v>59429.94</v>
      </c>
    </row>
    <row r="222" spans="1:29" ht="12.75">
      <c r="A222" s="34" t="s">
        <v>105</v>
      </c>
      <c r="B222" s="67">
        <f>'[11]Flujo Vencimientos'!B$15</f>
        <v>59387.82</v>
      </c>
      <c r="C222" s="68">
        <f>'[11]Flujo Vencimientos'!C$15</f>
        <v>8473.76</v>
      </c>
      <c r="D222" s="67">
        <f>'[11]Flujo Vencimientos'!D$15</f>
        <v>59602.979999999996</v>
      </c>
      <c r="E222" s="68">
        <f>'[11]Flujo Vencimientos'!E$15</f>
        <v>7590.02</v>
      </c>
      <c r="F222" s="67">
        <f>'[11]Flujo Vencimientos'!F$15</f>
        <v>59818.92</v>
      </c>
      <c r="G222" s="68">
        <f>'[11]Flujo Vencimientos'!G$15</f>
        <v>8332.060000000001</v>
      </c>
      <c r="H222" s="67">
        <f>'[11]Flujo Vencimientos'!H$15</f>
        <v>60035.65</v>
      </c>
      <c r="I222" s="68">
        <f>'[11]Flujo Vencimientos'!I$15</f>
        <v>7993.8099999999995</v>
      </c>
      <c r="J222" s="67">
        <f>'[11]Flujo Vencimientos'!J$15</f>
        <v>60253.159999999996</v>
      </c>
      <c r="K222" s="68">
        <f>'[11]Flujo Vencimientos'!K$15</f>
        <v>8187.799999999999</v>
      </c>
      <c r="L222" s="67">
        <f>'[11]Flujo Vencimientos'!L$15</f>
        <v>60471.45</v>
      </c>
      <c r="M222" s="68">
        <f>'[11]Flujo Vencimientos'!M$15</f>
        <v>7852.98</v>
      </c>
      <c r="N222" s="73">
        <f t="shared" si="54"/>
        <v>359569.98</v>
      </c>
      <c r="O222" s="84">
        <f t="shared" si="55"/>
        <v>48430.42999999999</v>
      </c>
      <c r="P222" s="67">
        <f>'[11]Flujo Vencimientos'!N$15</f>
        <v>60690.54</v>
      </c>
      <c r="Q222" s="68">
        <f>'[11]Flujo Vencimientos'!O$15</f>
        <v>8041.0599999999995</v>
      </c>
      <c r="R222" s="67">
        <f>'[11]Flujo Vencimientos'!P$15</f>
        <v>60910.42</v>
      </c>
      <c r="S222" s="68">
        <f>'[11]Flujo Vencimientos'!Q$15</f>
        <v>7966.74</v>
      </c>
      <c r="T222" s="67">
        <f>'[11]Flujo Vencimientos'!R$15</f>
        <v>61131.1</v>
      </c>
      <c r="U222" s="68">
        <f>'[11]Flujo Vencimientos'!S$15</f>
        <v>7637.22</v>
      </c>
      <c r="V222" s="67">
        <f>'[11]Flujo Vencimientos'!T$15</f>
        <v>61352.58</v>
      </c>
      <c r="W222" s="68">
        <f>'[11]Flujo Vencimientos'!U$15</f>
        <v>7816.15</v>
      </c>
      <c r="X222" s="67">
        <f>'[11]Flujo Vencimientos'!V$15</f>
        <v>61574.86</v>
      </c>
      <c r="Y222" s="68">
        <f>'[11]Flujo Vencimientos'!W$15</f>
        <v>7490.2300000000005</v>
      </c>
      <c r="Z222" s="67">
        <f>'[11]Flujo Vencimientos'!X$15</f>
        <v>61797.939999999995</v>
      </c>
      <c r="AA222" s="68">
        <f>'[11]Flujo Vencimientos'!Y$15</f>
        <v>7662.950000000001</v>
      </c>
      <c r="AB222" s="73">
        <f t="shared" si="57"/>
        <v>727027.4199999998</v>
      </c>
      <c r="AC222" s="74">
        <f t="shared" si="58"/>
        <v>95044.77999999997</v>
      </c>
    </row>
    <row r="223" spans="1:29" ht="12.75">
      <c r="A223" s="34" t="s">
        <v>4</v>
      </c>
      <c r="B223" s="67">
        <f>'[9]Flujo de Vencimientos'!B$15</f>
        <v>44528.990000000005</v>
      </c>
      <c r="C223" s="68">
        <f>'[9]Flujo de Vencimientos'!C$15</f>
        <v>6353.629999999999</v>
      </c>
      <c r="D223" s="67">
        <f>'[9]Flujo de Vencimientos'!D$15</f>
        <v>44690.369999999995</v>
      </c>
      <c r="E223" s="68">
        <f>'[9]Flujo de Vencimientos'!E$15</f>
        <v>5690.98</v>
      </c>
      <c r="F223" s="67">
        <f>'[9]Flujo de Vencimientos'!F$15</f>
        <v>44852.23</v>
      </c>
      <c r="G223" s="68">
        <f>'[9]Flujo de Vencimientos'!G$15</f>
        <v>6247.349999999999</v>
      </c>
      <c r="H223" s="67">
        <f>'[9]Flujo de Vencimientos'!H$15</f>
        <v>45014.78999999999</v>
      </c>
      <c r="I223" s="68">
        <f>'[9]Flujo de Vencimientos'!I$15</f>
        <v>5993.75</v>
      </c>
      <c r="J223" s="67">
        <f>'[9]Flujo de Vencimientos'!J$15</f>
        <v>45177.82</v>
      </c>
      <c r="K223" s="68">
        <f>'[9]Flujo de Vencimientos'!K$15</f>
        <v>6139.240000000001</v>
      </c>
      <c r="L223" s="67">
        <f>'[9]Flujo de Vencimientos'!L$15</f>
        <v>45341.56</v>
      </c>
      <c r="M223" s="68">
        <f>'[9]Flujo de Vencimientos'!M$15</f>
        <v>5888.17</v>
      </c>
      <c r="N223" s="73">
        <f t="shared" si="54"/>
        <v>269605.76</v>
      </c>
      <c r="O223" s="84">
        <f t="shared" si="55"/>
        <v>36313.12</v>
      </c>
      <c r="P223" s="67">
        <f>'[9]Flujo de Vencimientos'!N$15</f>
        <v>45505.770000000004</v>
      </c>
      <c r="Q223" s="68">
        <f>'[9]Flujo de Vencimientos'!O$15</f>
        <v>6029.18</v>
      </c>
      <c r="R223" s="67">
        <f>'[9]Flujo de Vencimientos'!P$15</f>
        <v>45670.7</v>
      </c>
      <c r="S223" s="68">
        <f>'[9]Flujo de Vencimientos'!Q$15</f>
        <v>5973.49</v>
      </c>
      <c r="T223" s="67">
        <f>'[9]Flujo de Vencimientos'!R$15</f>
        <v>45836.100000000006</v>
      </c>
      <c r="U223" s="68">
        <f>'[9]Flujo de Vencimientos'!S$15</f>
        <v>5726.36</v>
      </c>
      <c r="V223" s="67">
        <f>'[9]Flujo de Vencimientos'!T$15</f>
        <v>46002.229999999996</v>
      </c>
      <c r="W223" s="68">
        <f>'[9]Flujo de Vencimientos'!U$15</f>
        <v>5860.53</v>
      </c>
      <c r="X223" s="67">
        <f>'[9]Flujo de Vencimientos'!V$15</f>
        <v>46168.83</v>
      </c>
      <c r="Y223" s="68">
        <f>'[9]Flujo de Vencimientos'!W$15</f>
        <v>5616.18</v>
      </c>
      <c r="Z223" s="67">
        <f>'[9]Flujo de Vencimientos'!X$15</f>
        <v>46336.159999999996</v>
      </c>
      <c r="AA223" s="68">
        <f>'[9]Flujo de Vencimientos'!Y$15</f>
        <v>5745.6900000000005</v>
      </c>
      <c r="AB223" s="73">
        <f t="shared" si="57"/>
        <v>545125.55</v>
      </c>
      <c r="AC223" s="74">
        <f t="shared" si="58"/>
        <v>71264.55</v>
      </c>
    </row>
    <row r="224" spans="1:29" ht="12.75">
      <c r="A224" s="34" t="s">
        <v>10</v>
      </c>
      <c r="B224" s="67">
        <f>'[7]Flujo vencimientos'!B$15</f>
        <v>13564.75</v>
      </c>
      <c r="C224" s="68">
        <f>'[7]Flujo vencimientos'!C$15</f>
        <v>1935.48</v>
      </c>
      <c r="D224" s="67">
        <f>'[7]Flujo vencimientos'!D$15</f>
        <v>13613.84</v>
      </c>
      <c r="E224" s="68">
        <f>'[7]Flujo vencimientos'!E$15</f>
        <v>1733.6</v>
      </c>
      <c r="F224" s="67">
        <f>'[7]Flujo vencimientos'!F$15</f>
        <v>13663.22</v>
      </c>
      <c r="G224" s="68">
        <f>'[7]Flujo vencimientos'!G$15</f>
        <v>1903.13</v>
      </c>
      <c r="H224" s="67">
        <f>'[7]Flujo vencimientos'!H$15</f>
        <v>13712.66</v>
      </c>
      <c r="I224" s="68">
        <f>'[7]Flujo vencimientos'!I$15</f>
        <v>1825.8600000000001</v>
      </c>
      <c r="J224" s="67">
        <f>'[7]Flujo vencimientos'!J$15</f>
        <v>13762.4</v>
      </c>
      <c r="K224" s="68">
        <f>'[7]Flujo vencimientos'!K$15</f>
        <v>1870.1599999999999</v>
      </c>
      <c r="L224" s="67">
        <f>'[7]Flujo vencimientos'!L$15</f>
        <v>13812.2</v>
      </c>
      <c r="M224" s="68">
        <f>'[7]Flujo vencimientos'!M$15</f>
        <v>1793.68</v>
      </c>
      <c r="N224" s="73">
        <f t="shared" si="54"/>
        <v>82129.06999999999</v>
      </c>
      <c r="O224" s="84">
        <f t="shared" si="55"/>
        <v>11061.91</v>
      </c>
      <c r="P224" s="67">
        <f>'[7]Flujo vencimientos'!N$15</f>
        <v>13862.3</v>
      </c>
      <c r="Q224" s="68">
        <f>'[7]Flujo vencimientos'!O$15</f>
        <v>1836.6599999999999</v>
      </c>
      <c r="R224" s="67">
        <f>'[7]Flujo vencimientos'!P$15</f>
        <v>13912.470000000001</v>
      </c>
      <c r="S224" s="68">
        <f>'[7]Flujo vencimientos'!Q$15</f>
        <v>1819.69</v>
      </c>
      <c r="T224" s="67">
        <f>'[7]Flujo vencimientos'!R$15</f>
        <v>13962.929999999998</v>
      </c>
      <c r="U224" s="68">
        <f>'[7]Flujo vencimientos'!S$15</f>
        <v>1744.3799999999999</v>
      </c>
      <c r="V224" s="67">
        <f>'[7]Flujo vencimientos'!T$15</f>
        <v>14013.46</v>
      </c>
      <c r="W224" s="68">
        <f>'[7]Flujo vencimientos'!U$15</f>
        <v>1785.2599999999998</v>
      </c>
      <c r="X224" s="67">
        <f>'[7]Flujo vencimientos'!V$15</f>
        <v>14064.289999999999</v>
      </c>
      <c r="Y224" s="68">
        <f>'[7]Flujo vencimientos'!W$15</f>
        <v>1710.84</v>
      </c>
      <c r="Z224" s="67">
        <f>'[7]Flujo vencimientos'!X$15</f>
        <v>14115.189999999999</v>
      </c>
      <c r="AA224" s="68">
        <f>'[7]Flujo vencimientos'!Y$15</f>
        <v>1750.29</v>
      </c>
      <c r="AB224" s="73">
        <f t="shared" si="57"/>
        <v>166059.71</v>
      </c>
      <c r="AC224" s="74">
        <f t="shared" si="58"/>
        <v>21709.03</v>
      </c>
    </row>
    <row r="225" spans="1:29" ht="13.5" thickBot="1">
      <c r="A225" s="34" t="s">
        <v>11</v>
      </c>
      <c r="B225" s="67">
        <f>'[3]Flujo Vencimientos'!B$15</f>
        <v>165538.06</v>
      </c>
      <c r="C225" s="68">
        <f>'[3]Flujo Vencimientos'!C$15</f>
        <v>23619.78</v>
      </c>
      <c r="D225" s="67">
        <f>'[3]Flujo Vencimientos'!D$15</f>
        <v>166137.75</v>
      </c>
      <c r="E225" s="68">
        <f>'[3]Flujo Vencimientos'!E$15</f>
        <v>21156.41</v>
      </c>
      <c r="F225" s="67">
        <f>'[3]Flujo Vencimientos'!F$15</f>
        <v>166739.72</v>
      </c>
      <c r="G225" s="68">
        <f>'[3]Flujo Vencimientos'!G$15</f>
        <v>23224.809999999998</v>
      </c>
      <c r="H225" s="67">
        <f>'[3]Flujo Vencimientos'!H$15</f>
        <v>167343.75999999998</v>
      </c>
      <c r="I225" s="68">
        <f>'[3]Flujo Vencimientos'!I$15</f>
        <v>22281.940000000002</v>
      </c>
      <c r="J225" s="67">
        <f>'[3]Flujo Vencimientos'!J$15</f>
        <v>167950.11000000002</v>
      </c>
      <c r="K225" s="68">
        <f>'[3]Flujo Vencimientos'!K$15</f>
        <v>22822.800000000003</v>
      </c>
      <c r="L225" s="67">
        <f>'[3]Flujo Vencimientos'!L$15</f>
        <v>168558.53</v>
      </c>
      <c r="M225" s="68">
        <f>'[3]Flujo Vencimientos'!M$15</f>
        <v>21889.550000000003</v>
      </c>
      <c r="N225" s="73">
        <f t="shared" si="54"/>
        <v>1002267.93</v>
      </c>
      <c r="O225" s="84">
        <f t="shared" si="55"/>
        <v>134995.29</v>
      </c>
      <c r="P225" s="67">
        <f>'[3]Flujo Vencimientos'!N$15</f>
        <v>169169.28</v>
      </c>
      <c r="Q225" s="68">
        <f>'[3]Flujo Vencimientos'!O$15</f>
        <v>22413.8</v>
      </c>
      <c r="R225" s="67">
        <f>'[3]Flujo Vencimientos'!P$15</f>
        <v>169782.12</v>
      </c>
      <c r="S225" s="68">
        <f>'[3]Flujo Vencimientos'!Q$15</f>
        <v>22206.59</v>
      </c>
      <c r="T225" s="67">
        <f>'[3]Flujo Vencimientos'!R$15</f>
        <v>170397.3</v>
      </c>
      <c r="U225" s="68">
        <f>'[3]Flujo Vencimientos'!S$15</f>
        <v>21287.99</v>
      </c>
      <c r="V225" s="67">
        <f>'[3]Flujo Vencimientos'!T$15</f>
        <v>171014.59</v>
      </c>
      <c r="W225" s="68">
        <f>'[3]Flujo Vencimientos'!U$15</f>
        <v>21786.78</v>
      </c>
      <c r="X225" s="67">
        <f>'[3]Flujo Vencimientos'!V$15</f>
        <v>171634.23</v>
      </c>
      <c r="Y225" s="68">
        <f>'[3]Flujo Vencimientos'!W$15</f>
        <v>20878.22</v>
      </c>
      <c r="Z225" s="67">
        <f>'[3]Flujo Vencimientos'!X$15</f>
        <v>172256</v>
      </c>
      <c r="AA225" s="68">
        <f>'[3]Flujo Vencimientos'!Y$15</f>
        <v>21359.77</v>
      </c>
      <c r="AB225" s="73">
        <f t="shared" si="57"/>
        <v>2026521.4500000002</v>
      </c>
      <c r="AC225" s="74">
        <f t="shared" si="58"/>
        <v>264928.44</v>
      </c>
    </row>
    <row r="226" spans="1:29" s="42" customFormat="1" ht="12.75" thickBot="1">
      <c r="A226" s="43" t="s">
        <v>120</v>
      </c>
      <c r="B226" s="71">
        <f aca="true" t="shared" si="59" ref="B226:M226">B213</f>
        <v>768430.99</v>
      </c>
      <c r="C226" s="72">
        <f t="shared" si="59"/>
        <v>109643.51</v>
      </c>
      <c r="D226" s="71">
        <f t="shared" si="59"/>
        <v>771214.78</v>
      </c>
      <c r="E226" s="72">
        <f t="shared" si="59"/>
        <v>98208.39</v>
      </c>
      <c r="F226" s="71">
        <f t="shared" si="59"/>
        <v>774009.13</v>
      </c>
      <c r="G226" s="72">
        <f t="shared" si="59"/>
        <v>107809.90000000001</v>
      </c>
      <c r="H226" s="71">
        <f t="shared" si="59"/>
        <v>776813.1400000001</v>
      </c>
      <c r="I226" s="72">
        <f t="shared" si="59"/>
        <v>103433.23000000001</v>
      </c>
      <c r="J226" s="71">
        <f t="shared" si="59"/>
        <v>779627.75</v>
      </c>
      <c r="K226" s="72">
        <f t="shared" si="59"/>
        <v>105943.87000000001</v>
      </c>
      <c r="L226" s="71">
        <f t="shared" si="59"/>
        <v>782452.1199999999</v>
      </c>
      <c r="M226" s="72">
        <f t="shared" si="59"/>
        <v>101611.46</v>
      </c>
      <c r="N226" s="597">
        <f t="shared" si="54"/>
        <v>4652547.91</v>
      </c>
      <c r="O226" s="598">
        <f t="shared" si="55"/>
        <v>626650.36</v>
      </c>
      <c r="P226" s="71">
        <f>P213</f>
        <v>785287.1700000002</v>
      </c>
      <c r="Q226" s="72">
        <f>Q213</f>
        <v>104045.16000000002</v>
      </c>
      <c r="R226" s="71">
        <f>R213</f>
        <v>788132.0199999999</v>
      </c>
      <c r="S226" s="72">
        <f aca="true" t="shared" si="60" ref="S226:AA226">S213</f>
        <v>103083.42</v>
      </c>
      <c r="T226" s="71">
        <f t="shared" si="60"/>
        <v>790987.6599999999</v>
      </c>
      <c r="U226" s="72">
        <f t="shared" si="60"/>
        <v>98819.3</v>
      </c>
      <c r="V226" s="71">
        <f t="shared" si="60"/>
        <v>793853.19</v>
      </c>
      <c r="W226" s="72">
        <f t="shared" si="60"/>
        <v>101134.70999999999</v>
      </c>
      <c r="X226" s="71">
        <f t="shared" si="60"/>
        <v>796729.5499999999</v>
      </c>
      <c r="Y226" s="72">
        <f t="shared" si="60"/>
        <v>96917.23999999999</v>
      </c>
      <c r="Z226" s="71">
        <f t="shared" si="60"/>
        <v>799615.86</v>
      </c>
      <c r="AA226" s="72">
        <f t="shared" si="60"/>
        <v>99152.36</v>
      </c>
      <c r="AB226" s="597">
        <f t="shared" si="57"/>
        <v>9407153.36</v>
      </c>
      <c r="AC226" s="598">
        <f t="shared" si="58"/>
        <v>1229802.55</v>
      </c>
    </row>
    <row r="227" spans="1:29" ht="13.5" thickBot="1">
      <c r="A227" s="42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1"/>
      <c r="AC227" s="42"/>
    </row>
    <row r="228" spans="1:29" s="42" customFormat="1" ht="12.75" thickBot="1">
      <c r="A228" s="12" t="s">
        <v>94</v>
      </c>
      <c r="B228" s="39"/>
      <c r="C228" s="39"/>
      <c r="D228" s="39"/>
      <c r="E228" s="39"/>
      <c r="F228" s="39"/>
      <c r="G228" s="39"/>
      <c r="H228" s="78" t="s">
        <v>132</v>
      </c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78" t="str">
        <f>H228</f>
        <v>EN PESOS</v>
      </c>
      <c r="W228" s="39"/>
      <c r="X228" s="39"/>
      <c r="Y228" s="39"/>
      <c r="Z228" s="39"/>
      <c r="AA228" s="39"/>
      <c r="AB228" s="39"/>
      <c r="AC228" s="38"/>
    </row>
    <row r="229" spans="1:29" ht="12.75">
      <c r="A229" s="33" t="s">
        <v>27</v>
      </c>
      <c r="B229" s="32">
        <f aca="true" t="shared" si="61" ref="B229:M229">SUM(B230:B232)</f>
        <v>592650.03</v>
      </c>
      <c r="C229" s="31">
        <f t="shared" si="61"/>
        <v>37762.61</v>
      </c>
      <c r="D229" s="32">
        <f t="shared" si="61"/>
        <v>596813.16</v>
      </c>
      <c r="E229" s="31">
        <f t="shared" si="61"/>
        <v>33437.44</v>
      </c>
      <c r="F229" s="32">
        <f t="shared" si="61"/>
        <v>601005.4299999999</v>
      </c>
      <c r="G229" s="31">
        <f t="shared" si="61"/>
        <v>36250.840000000004</v>
      </c>
      <c r="H229" s="32">
        <f t="shared" si="61"/>
        <v>605227.0099999999</v>
      </c>
      <c r="I229" s="31">
        <f t="shared" si="61"/>
        <v>34333.84</v>
      </c>
      <c r="J229" s="32">
        <f t="shared" si="61"/>
        <v>609478.1</v>
      </c>
      <c r="K229" s="31">
        <f t="shared" si="61"/>
        <v>34688.89</v>
      </c>
      <c r="L229" s="32">
        <f t="shared" si="61"/>
        <v>613758.92</v>
      </c>
      <c r="M229" s="31">
        <f t="shared" si="61"/>
        <v>32797.51</v>
      </c>
      <c r="N229" s="32">
        <f aca="true" t="shared" si="62" ref="N229:N248">B229+D229+F229+H229+J229+L229</f>
        <v>3618932.65</v>
      </c>
      <c r="O229" s="31">
        <f aca="true" t="shared" si="63" ref="O229:O248">C229+E229+G229+I229+K229+M229</f>
        <v>209271.13</v>
      </c>
      <c r="P229" s="32">
        <f aca="true" t="shared" si="64" ref="P229:AA229">SUM(P230:P232)</f>
        <v>618069.66</v>
      </c>
      <c r="Q229" s="31">
        <f t="shared" si="64"/>
        <v>33075.69</v>
      </c>
      <c r="R229" s="32">
        <f t="shared" si="64"/>
        <v>622410.52</v>
      </c>
      <c r="S229" s="31">
        <f t="shared" si="64"/>
        <v>32249.510000000002</v>
      </c>
      <c r="T229" s="32">
        <f t="shared" si="64"/>
        <v>626781.71</v>
      </c>
      <c r="U229" s="31">
        <f t="shared" si="64"/>
        <v>30398.620000000003</v>
      </c>
      <c r="V229" s="32">
        <f t="shared" si="64"/>
        <v>631183.4299999999</v>
      </c>
      <c r="W229" s="31">
        <f t="shared" si="64"/>
        <v>30557.260000000006</v>
      </c>
      <c r="X229" s="32">
        <f t="shared" si="64"/>
        <v>635615.8899999999</v>
      </c>
      <c r="Y229" s="31">
        <f t="shared" si="64"/>
        <v>28734.8</v>
      </c>
      <c r="Z229" s="32">
        <f t="shared" si="64"/>
        <v>640079.2699999999</v>
      </c>
      <c r="AA229" s="31">
        <f t="shared" si="64"/>
        <v>28810.870000000003</v>
      </c>
      <c r="AB229" s="32">
        <f aca="true" t="shared" si="65" ref="AB229:AB248">+N229+P229+R229+T229+V229+X229+Z229</f>
        <v>7393073.129999999</v>
      </c>
      <c r="AC229" s="31">
        <f aca="true" t="shared" si="66" ref="AC229:AC248">O229+Q229+S229+U229+W229+Y229+AA229</f>
        <v>393097.88</v>
      </c>
    </row>
    <row r="230" spans="1:29" ht="12.75">
      <c r="A230" s="34" t="s">
        <v>22</v>
      </c>
      <c r="B230" s="81">
        <f>'[43]Flujo para el libro'!B$15</f>
        <v>363869.61</v>
      </c>
      <c r="C230" s="82">
        <f>'[43]Flujo para el libro'!C$15</f>
        <v>22969.88</v>
      </c>
      <c r="D230" s="81">
        <f>'[43]Flujo para el libro'!D$15</f>
        <v>366434.89</v>
      </c>
      <c r="E230" s="82">
        <f>'[43]Flujo para el libro'!E$15</f>
        <v>20331.05</v>
      </c>
      <c r="F230" s="81">
        <f>'[43]Flujo para el libro'!F$15</f>
        <v>369018.26</v>
      </c>
      <c r="G230" s="82">
        <f>'[43]Flujo para el libro'!G$15</f>
        <v>22041.25</v>
      </c>
      <c r="H230" s="81">
        <f>'[43]Flujo para el libro'!H$15</f>
        <v>371619.83999999997</v>
      </c>
      <c r="I230" s="82">
        <f>'[43]Flujo para el libro'!I$15</f>
        <v>20869.74</v>
      </c>
      <c r="J230" s="81">
        <f>'[43]Flujo para el libro'!J$15</f>
        <v>374239.75</v>
      </c>
      <c r="K230" s="82">
        <f>'[43]Flujo para el libro'!K$15</f>
        <v>21081.73</v>
      </c>
      <c r="L230" s="81">
        <f>'[43]Flujo para el libro'!L$15</f>
        <v>376878.14</v>
      </c>
      <c r="M230" s="82">
        <f>'[43]Flujo para el libro'!M$15</f>
        <v>19925.98</v>
      </c>
      <c r="N230" s="51">
        <f t="shared" si="62"/>
        <v>2222060.49</v>
      </c>
      <c r="O230" s="50">
        <f t="shared" si="63"/>
        <v>127219.62999999999</v>
      </c>
      <c r="P230" s="81">
        <f>'[43]Flujo para el libro'!N$15</f>
        <v>379535.13</v>
      </c>
      <c r="Q230" s="82">
        <f>'[43]Flujo para el libro'!O$15</f>
        <v>20090.65</v>
      </c>
      <c r="R230" s="81">
        <f>'[43]Flujo para el libro'!P$15</f>
        <v>382210.86</v>
      </c>
      <c r="S230" s="82">
        <f>'[43]Flujo para el libro'!Q$15</f>
        <v>19583.06</v>
      </c>
      <c r="T230" s="81">
        <f>'[43]Flujo para el libro'!R$15</f>
        <v>384905.44</v>
      </c>
      <c r="U230" s="82">
        <f>'[43]Flujo para el libro'!S$15</f>
        <v>18452.23</v>
      </c>
      <c r="V230" s="81">
        <f>'[43]Flujo para el libro'!T$15</f>
        <v>387619.01999999996</v>
      </c>
      <c r="W230" s="82">
        <f>'[43]Flujo para el libro'!U$15</f>
        <v>18543.31</v>
      </c>
      <c r="X230" s="81">
        <f>'[43]Flujo para el libro'!V$15</f>
        <v>390351.74</v>
      </c>
      <c r="Y230" s="82">
        <f>'[43]Flujo para el libro'!W$15</f>
        <v>17429.98</v>
      </c>
      <c r="Z230" s="81">
        <f>'[43]Flujo para el libro'!X$15</f>
        <v>393103.70999999996</v>
      </c>
      <c r="AA230" s="82">
        <f>'[43]Flujo para el libro'!Y$15</f>
        <v>17470.22</v>
      </c>
      <c r="AB230" s="51">
        <f t="shared" si="65"/>
        <v>4539786.39</v>
      </c>
      <c r="AC230" s="50">
        <f t="shared" si="66"/>
        <v>238789.08000000002</v>
      </c>
    </row>
    <row r="231" spans="1:29" ht="12.75">
      <c r="A231" s="34" t="s">
        <v>128</v>
      </c>
      <c r="B231" s="81">
        <f>'[30]Flujo para el libro'!B$15</f>
        <v>218665.62</v>
      </c>
      <c r="C231" s="82">
        <f>'[30]Flujo para el libro'!C$15</f>
        <v>13865.97</v>
      </c>
      <c r="D231" s="81">
        <f>'[30]Flujo para el libro'!D$15</f>
        <v>220207.21</v>
      </c>
      <c r="E231" s="82">
        <f>'[30]Flujo para el libro'!E$15</f>
        <v>12278.6</v>
      </c>
      <c r="F231" s="81">
        <f>'[30]Flujo para el libro'!F$15</f>
        <v>221759.66999999998</v>
      </c>
      <c r="G231" s="82">
        <f>'[30]Flujo para el libro'!G$15</f>
        <v>13304.76</v>
      </c>
      <c r="H231" s="81">
        <f>'[30]Flujo para el libro'!H$15</f>
        <v>223323.07</v>
      </c>
      <c r="I231" s="82">
        <f>'[30]Flujo para el libro'!I$15</f>
        <v>12599.15</v>
      </c>
      <c r="J231" s="81">
        <f>'[30]Flujo para el libro'!J$15</f>
        <v>224897.5</v>
      </c>
      <c r="K231" s="82">
        <f>'[30]Flujo para el libro'!K$15</f>
        <v>12724.96</v>
      </c>
      <c r="L231" s="81">
        <f>'[30]Flujo para el libro'!L$15</f>
        <v>226483.03</v>
      </c>
      <c r="M231" s="82">
        <f>'[30]Flujo para el libro'!M$15</f>
        <v>12028.82</v>
      </c>
      <c r="N231" s="51">
        <f t="shared" si="62"/>
        <v>1335336.1</v>
      </c>
      <c r="O231" s="50">
        <f t="shared" si="63"/>
        <v>76802.26000000001</v>
      </c>
      <c r="P231" s="81">
        <f>'[30]Flujo para el libro'!N$15</f>
        <v>228079.72999999998</v>
      </c>
      <c r="Q231" s="82">
        <f>'[30]Flujo para el libro'!O$15</f>
        <v>12126.179999999998</v>
      </c>
      <c r="R231" s="81">
        <f>'[30]Flujo para el libro'!P$15</f>
        <v>229687.69</v>
      </c>
      <c r="S231" s="82">
        <f>'[30]Flujo para el libro'!Q$15</f>
        <v>11819.53</v>
      </c>
      <c r="T231" s="81">
        <f>'[30]Flujo para el libro'!R$15</f>
        <v>231306.99</v>
      </c>
      <c r="U231" s="82">
        <f>'[30]Flujo para el libro'!S$15</f>
        <v>11138.35</v>
      </c>
      <c r="V231" s="81">
        <f>'[30]Flujo para el libro'!T$15</f>
        <v>232937.71</v>
      </c>
      <c r="W231" s="82">
        <f>'[30]Flujo para el libro'!U$15</f>
        <v>11191.460000000001</v>
      </c>
      <c r="X231" s="81">
        <f>'[30]Flujo para el libro'!V$15</f>
        <v>234579.91999999998</v>
      </c>
      <c r="Y231" s="82">
        <f>'[30]Flujo para el libro'!W$15</f>
        <v>10520.779999999999</v>
      </c>
      <c r="Z231" s="81">
        <f>'[30]Flujo para el libro'!X$15</f>
        <v>236233.69999999998</v>
      </c>
      <c r="AA231" s="82">
        <f>'[30]Flujo para el libro'!Y$15</f>
        <v>10543.33</v>
      </c>
      <c r="AB231" s="51">
        <f t="shared" si="65"/>
        <v>2728161.8400000003</v>
      </c>
      <c r="AC231" s="50">
        <f t="shared" si="66"/>
        <v>144141.88999999998</v>
      </c>
    </row>
    <row r="232" spans="1:29" ht="12.75">
      <c r="A232" s="34" t="s">
        <v>11</v>
      </c>
      <c r="B232" s="81">
        <f>'[5]Flujo para el libro'!B$15</f>
        <v>10114.8</v>
      </c>
      <c r="C232" s="82">
        <f>'[5]Flujo para el libro'!C$15</f>
        <v>926.76</v>
      </c>
      <c r="D232" s="81">
        <f>'[5]Flujo para el libro'!D$15</f>
        <v>10171.06</v>
      </c>
      <c r="E232" s="82">
        <f>'[5]Flujo para el libro'!E$15</f>
        <v>827.7900000000001</v>
      </c>
      <c r="F232" s="81">
        <f>'[5]Flujo para el libro'!F$15</f>
        <v>10227.5</v>
      </c>
      <c r="G232" s="82">
        <f>'[5]Flujo para el libro'!G$15</f>
        <v>904.83</v>
      </c>
      <c r="H232" s="81">
        <f>'[5]Flujo para el libro'!H$15</f>
        <v>10284.099999999999</v>
      </c>
      <c r="I232" s="82">
        <f>'[5]Flujo para el libro'!I$15</f>
        <v>864.9499999999999</v>
      </c>
      <c r="J232" s="81">
        <f>'[5]Flujo para el libro'!J$15</f>
        <v>10340.849999999999</v>
      </c>
      <c r="K232" s="82">
        <f>'[5]Flujo para el libro'!K$15</f>
        <v>882.2</v>
      </c>
      <c r="L232" s="81">
        <f>'[5]Flujo para el libro'!L$15</f>
        <v>10397.75</v>
      </c>
      <c r="M232" s="82">
        <f>'[5]Flujo para el libro'!M$15</f>
        <v>842.7099999999999</v>
      </c>
      <c r="N232" s="51">
        <f t="shared" si="62"/>
        <v>61536.06</v>
      </c>
      <c r="O232" s="50">
        <f t="shared" si="63"/>
        <v>5249.24</v>
      </c>
      <c r="P232" s="81">
        <f>'[5]Flujo para el libro'!N$15</f>
        <v>10454.8</v>
      </c>
      <c r="Q232" s="82">
        <f>'[5]Flujo para el libro'!O$15</f>
        <v>858.86</v>
      </c>
      <c r="R232" s="81">
        <f>'[5]Flujo para el libro'!P$15</f>
        <v>10511.97</v>
      </c>
      <c r="S232" s="82">
        <f>'[5]Flujo para el libro'!Q$15</f>
        <v>846.92</v>
      </c>
      <c r="T232" s="81">
        <f>'[5]Flujo para el libro'!R$15</f>
        <v>10569.279999999999</v>
      </c>
      <c r="U232" s="82">
        <f>'[5]Flujo para el libro'!S$15</f>
        <v>808.0400000000001</v>
      </c>
      <c r="V232" s="81">
        <f>'[5]Flujo para el libro'!T$15</f>
        <v>10626.7</v>
      </c>
      <c r="W232" s="82">
        <f>'[5]Flujo para el libro'!U$15</f>
        <v>822.49</v>
      </c>
      <c r="X232" s="81">
        <f>'[5]Flujo para el libro'!V$15</f>
        <v>10684.23</v>
      </c>
      <c r="Y232" s="82">
        <f>'[5]Flujo para el libro'!W$15</f>
        <v>784.04</v>
      </c>
      <c r="Z232" s="81">
        <f>'[5]Flujo para el libro'!X$15</f>
        <v>10741.86</v>
      </c>
      <c r="AA232" s="82">
        <f>'[5]Flujo para el libro'!Y$15</f>
        <v>797.32</v>
      </c>
      <c r="AB232" s="51">
        <f t="shared" si="65"/>
        <v>125124.9</v>
      </c>
      <c r="AC232" s="50">
        <f t="shared" si="66"/>
        <v>10166.91</v>
      </c>
    </row>
    <row r="233" spans="1:29" ht="12.75">
      <c r="A233" s="33" t="s">
        <v>129</v>
      </c>
      <c r="B233" s="32">
        <f aca="true" t="shared" si="67" ref="B233:M233">SUM(B234:B237)</f>
        <v>485000.18</v>
      </c>
      <c r="C233" s="31">
        <f t="shared" si="67"/>
        <v>165268.28999999998</v>
      </c>
      <c r="D233" s="32">
        <f t="shared" si="67"/>
        <v>491507.18</v>
      </c>
      <c r="E233" s="31">
        <f t="shared" si="67"/>
        <v>158761.3</v>
      </c>
      <c r="F233" s="32">
        <f t="shared" si="67"/>
        <v>498102.01000000007</v>
      </c>
      <c r="G233" s="31">
        <f t="shared" si="67"/>
        <v>152166.46</v>
      </c>
      <c r="H233" s="32">
        <f t="shared" si="67"/>
        <v>504785.87</v>
      </c>
      <c r="I233" s="31">
        <f t="shared" si="67"/>
        <v>145482.59999999998</v>
      </c>
      <c r="J233" s="32">
        <f t="shared" si="67"/>
        <v>511559.97</v>
      </c>
      <c r="K233" s="31">
        <f t="shared" si="67"/>
        <v>138708.51</v>
      </c>
      <c r="L233" s="32">
        <f t="shared" si="67"/>
        <v>518425.53</v>
      </c>
      <c r="M233" s="31">
        <f t="shared" si="67"/>
        <v>131842.95</v>
      </c>
      <c r="N233" s="32">
        <f t="shared" si="62"/>
        <v>3009380.74</v>
      </c>
      <c r="O233" s="31">
        <f t="shared" si="63"/>
        <v>892230.1099999999</v>
      </c>
      <c r="P233" s="32">
        <f aca="true" t="shared" si="68" ref="P233:AA233">SUM(P234:P237)</f>
        <v>525383.79</v>
      </c>
      <c r="Q233" s="31">
        <f t="shared" si="68"/>
        <v>124884.70000000001</v>
      </c>
      <c r="R233" s="32">
        <f t="shared" si="68"/>
        <v>532436.02</v>
      </c>
      <c r="S233" s="31">
        <f t="shared" si="68"/>
        <v>117832.46</v>
      </c>
      <c r="T233" s="32">
        <f t="shared" si="68"/>
        <v>539583.48</v>
      </c>
      <c r="U233" s="31">
        <f t="shared" si="68"/>
        <v>110685</v>
      </c>
      <c r="V233" s="32">
        <f t="shared" si="68"/>
        <v>546827.49</v>
      </c>
      <c r="W233" s="31">
        <f t="shared" si="68"/>
        <v>103440.98999999999</v>
      </c>
      <c r="X233" s="32">
        <f t="shared" si="68"/>
        <v>554169.34</v>
      </c>
      <c r="Y233" s="31">
        <f t="shared" si="68"/>
        <v>96099.15000000001</v>
      </c>
      <c r="Z233" s="32">
        <f t="shared" si="68"/>
        <v>561610.37</v>
      </c>
      <c r="AA233" s="31">
        <f t="shared" si="68"/>
        <v>88658.11</v>
      </c>
      <c r="AB233" s="32">
        <f t="shared" si="65"/>
        <v>6269391.23</v>
      </c>
      <c r="AC233" s="31">
        <f t="shared" si="66"/>
        <v>1533830.5199999998</v>
      </c>
    </row>
    <row r="234" spans="1:29" ht="12.75" hidden="1">
      <c r="A234" s="34" t="s">
        <v>21</v>
      </c>
      <c r="B234" s="81"/>
      <c r="C234" s="82"/>
      <c r="D234" s="81"/>
      <c r="E234" s="82"/>
      <c r="F234" s="81"/>
      <c r="G234" s="82"/>
      <c r="H234" s="81"/>
      <c r="I234" s="82"/>
      <c r="J234" s="81"/>
      <c r="K234" s="82"/>
      <c r="L234" s="81"/>
      <c r="M234" s="82"/>
      <c r="N234" s="51">
        <f t="shared" si="62"/>
        <v>0</v>
      </c>
      <c r="O234" s="50">
        <f t="shared" si="63"/>
        <v>0</v>
      </c>
      <c r="P234" s="81"/>
      <c r="Q234" s="82"/>
      <c r="R234" s="81"/>
      <c r="S234" s="82"/>
      <c r="T234" s="81"/>
      <c r="U234" s="82"/>
      <c r="V234" s="81"/>
      <c r="W234" s="82"/>
      <c r="X234" s="81"/>
      <c r="Y234" s="82"/>
      <c r="Z234" s="81"/>
      <c r="AA234" s="82"/>
      <c r="AB234" s="51">
        <f t="shared" si="65"/>
        <v>0</v>
      </c>
      <c r="AC234" s="50">
        <f t="shared" si="66"/>
        <v>0</v>
      </c>
    </row>
    <row r="235" spans="1:29" ht="12.75">
      <c r="A235" s="34" t="s">
        <v>126</v>
      </c>
      <c r="B235" s="545">
        <f>'[56]Flujos Vencimientos'!$B$15</f>
        <v>147490.76</v>
      </c>
      <c r="C235" s="546">
        <f>'[56]Flujos Vencimientos'!$C$15</f>
        <v>69720.29</v>
      </c>
      <c r="D235" s="545">
        <f>'[56]Flujos Vencimientos'!$D$15</f>
        <v>149703.12</v>
      </c>
      <c r="E235" s="546">
        <f>'[56]Flujos Vencimientos'!$E$15</f>
        <v>67507.93</v>
      </c>
      <c r="F235" s="545">
        <f>'[56]Flujos Vencimientos'!$F$15</f>
        <v>151948.67</v>
      </c>
      <c r="G235" s="546">
        <f>'[56]Flujos Vencimientos'!$G$15</f>
        <v>65262.37999999999</v>
      </c>
      <c r="H235" s="545">
        <f>'[56]Flujos Vencimientos'!$H$15</f>
        <v>154227.9</v>
      </c>
      <c r="I235" s="546">
        <f>'[56]Flujos Vencimientos'!$I$15</f>
        <v>62983.15</v>
      </c>
      <c r="J235" s="545">
        <f>'[56]Flujos Vencimientos'!$J$15</f>
        <v>156541.32</v>
      </c>
      <c r="K235" s="546">
        <f>'[56]Flujos Vencimientos'!$K$15</f>
        <v>60669.73</v>
      </c>
      <c r="L235" s="545">
        <f>'[56]Flujos Vencimientos'!$L$15</f>
        <v>158889.44</v>
      </c>
      <c r="M235" s="546">
        <f>'[56]Flujos Vencimientos'!$M$15</f>
        <v>58321.61</v>
      </c>
      <c r="N235" s="547">
        <f t="shared" si="62"/>
        <v>918801.21</v>
      </c>
      <c r="O235" s="84">
        <f t="shared" si="63"/>
        <v>384465.08999999997</v>
      </c>
      <c r="P235" s="545">
        <f>'[56]Flujos Vencimientos'!$N$15</f>
        <v>161272.78</v>
      </c>
      <c r="Q235" s="546">
        <f>'[56]Flujos Vencimientos'!$O$15</f>
        <v>55938.27</v>
      </c>
      <c r="R235" s="545">
        <f>'[56]Flujos Vencimientos'!$P$15</f>
        <v>163691.87</v>
      </c>
      <c r="S235" s="546">
        <f>'[56]Flujos Vencimientos'!$Q$15</f>
        <v>53519.18</v>
      </c>
      <c r="T235" s="545">
        <f>'[56]Flujos Vencimientos'!$R$15</f>
        <v>166147.25</v>
      </c>
      <c r="U235" s="546">
        <f>'[56]Flujos Vencimientos'!$S$15</f>
        <v>51063.8</v>
      </c>
      <c r="V235" s="545">
        <f>'[56]Flujos Vencimientos'!$T$15</f>
        <v>168639.46</v>
      </c>
      <c r="W235" s="546">
        <f>'[56]Flujos Vencimientos'!$U$15</f>
        <v>48571.59</v>
      </c>
      <c r="X235" s="545">
        <f>'[56]Flujos Vencimientos'!$V$15</f>
        <v>171169.05</v>
      </c>
      <c r="Y235" s="546">
        <f>'[56]Flujos Vencimientos'!$W$15</f>
        <v>46042</v>
      </c>
      <c r="Z235" s="545">
        <f>'[56]Flujos Vencimientos'!$X$15</f>
        <v>173736.58</v>
      </c>
      <c r="AA235" s="546">
        <f>'[56]Flujos Vencimientos'!$Y$15</f>
        <v>43474.46</v>
      </c>
      <c r="AB235" s="547">
        <f>+N235+P235+R235+T235+V235+X235+Z235</f>
        <v>1923458.2</v>
      </c>
      <c r="AC235" s="84">
        <f>O235+Q235+S235+U235+W235+Y235+AA235</f>
        <v>683074.3899999999</v>
      </c>
    </row>
    <row r="236" spans="1:29" ht="12.75">
      <c r="A236" s="34" t="s">
        <v>105</v>
      </c>
      <c r="B236" s="81">
        <f>'[45]Flujos Vencimientos'!$B$15</f>
        <v>221124.35</v>
      </c>
      <c r="C236" s="82">
        <f>'[45]Flujos Vencimientos'!$C$15</f>
        <v>74875.23</v>
      </c>
      <c r="D236" s="81">
        <f>'[45]Flujos Vencimientos'!$D$15</f>
        <v>223945.99</v>
      </c>
      <c r="E236" s="82">
        <f>'[45]Flujos Vencimientos'!$E$15</f>
        <v>72053.6</v>
      </c>
      <c r="F236" s="81">
        <f>'[45]Flujos Vencimientos'!$F$15</f>
        <v>226803.63</v>
      </c>
      <c r="G236" s="82">
        <f>'[45]Flujos Vencimientos'!$G$15</f>
        <v>69195.95</v>
      </c>
      <c r="H236" s="81">
        <f>'[45]Flujos Vencimientos'!$H$15</f>
        <v>229697.74</v>
      </c>
      <c r="I236" s="82">
        <f>'[45]Flujos Vencimientos'!$I$15</f>
        <v>66301.84</v>
      </c>
      <c r="J236" s="81">
        <f>'[45]Flujos Vencimientos'!$J$15</f>
        <v>232628.78</v>
      </c>
      <c r="K236" s="82">
        <f>'[45]Flujos Vencimientos'!$K$15</f>
        <v>63370.8</v>
      </c>
      <c r="L236" s="81">
        <f>'[45]Flujos Vencimientos'!$L$15</f>
        <v>235597.22</v>
      </c>
      <c r="M236" s="82">
        <f>'[45]Flujos Vencimientos'!$M$15</f>
        <v>60402.36</v>
      </c>
      <c r="N236" s="51">
        <f t="shared" si="62"/>
        <v>1369797.71</v>
      </c>
      <c r="O236" s="50">
        <f t="shared" si="63"/>
        <v>406199.77999999997</v>
      </c>
      <c r="P236" s="81">
        <f>'[45]Flujos Vencimientos'!$N$15</f>
        <v>238603.54</v>
      </c>
      <c r="Q236" s="82">
        <f>'[45]Flujos Vencimientos'!$O$15</f>
        <v>57396.05</v>
      </c>
      <c r="R236" s="81">
        <f>'[45]Flujos Vencimientos'!$P$15</f>
        <v>241648.22</v>
      </c>
      <c r="S236" s="82">
        <f>'[45]Flujos Vencimientos'!$Q$15</f>
        <v>54351.36</v>
      </c>
      <c r="T236" s="81">
        <f>'[45]Flujos Vencimientos'!$R$15</f>
        <v>244731.75</v>
      </c>
      <c r="U236" s="82">
        <f>'[45]Flujos Vencimientos'!$S$15</f>
        <v>51267.83</v>
      </c>
      <c r="V236" s="81">
        <f>'[45]Flujos Vencimientos'!$T$15</f>
        <v>247854.63</v>
      </c>
      <c r="W236" s="82">
        <f>'[45]Flujos Vencimientos'!$U$15</f>
        <v>48144.95</v>
      </c>
      <c r="X236" s="81">
        <f>'[45]Flujos Vencimientos'!$V$15</f>
        <v>251017.36</v>
      </c>
      <c r="Y236" s="82">
        <f>'[45]Flujos Vencimientos'!$W$15</f>
        <v>44982.23</v>
      </c>
      <c r="Z236" s="81">
        <f>'[45]Flujos Vencimientos'!$X$15</f>
        <v>254220.45</v>
      </c>
      <c r="AA236" s="82">
        <f>'[45]Flujos Vencimientos'!$Y$15</f>
        <v>41779.14</v>
      </c>
      <c r="AB236" s="51">
        <f t="shared" si="65"/>
        <v>2847873.66</v>
      </c>
      <c r="AC236" s="50">
        <f t="shared" si="66"/>
        <v>704121.3399999999</v>
      </c>
    </row>
    <row r="237" spans="1:29" ht="12.75">
      <c r="A237" s="34" t="s">
        <v>10</v>
      </c>
      <c r="B237" s="81">
        <f>'[46]Flujos Vencimientos'!$B$15</f>
        <v>116385.07</v>
      </c>
      <c r="C237" s="82">
        <f>'[46]Flujos Vencimientos'!$C$15</f>
        <v>20672.77</v>
      </c>
      <c r="D237" s="81">
        <f>'[46]Flujos Vencimientos'!$D$15</f>
        <v>117858.07</v>
      </c>
      <c r="E237" s="82">
        <f>'[46]Flujos Vencimientos'!$E$15</f>
        <v>19199.77</v>
      </c>
      <c r="F237" s="81">
        <f>'[46]Flujos Vencimientos'!$F$15</f>
        <v>119349.71</v>
      </c>
      <c r="G237" s="82">
        <f>'[46]Flujos Vencimientos'!$G$15</f>
        <v>17708.13</v>
      </c>
      <c r="H237" s="81">
        <f>'[46]Flujos Vencimientos'!$H$15</f>
        <v>120860.23</v>
      </c>
      <c r="I237" s="82">
        <f>'[46]Flujos Vencimientos'!$I$15</f>
        <v>16197.61</v>
      </c>
      <c r="J237" s="81">
        <f>'[46]Flujos Vencimientos'!$J$15</f>
        <v>122389.87</v>
      </c>
      <c r="K237" s="82">
        <f>'[46]Flujos Vencimientos'!$K$15</f>
        <v>14667.98</v>
      </c>
      <c r="L237" s="81">
        <f>'[46]Flujos Vencimientos'!$L$15</f>
        <v>123938.87</v>
      </c>
      <c r="M237" s="82">
        <f>'[46]Flujos Vencimientos'!$M$15</f>
        <v>13118.98</v>
      </c>
      <c r="N237" s="51">
        <f t="shared" si="62"/>
        <v>720781.82</v>
      </c>
      <c r="O237" s="50">
        <f t="shared" si="63"/>
        <v>101565.23999999999</v>
      </c>
      <c r="P237" s="382">
        <f>'[46]Flujos Vencimientos'!$N$15</f>
        <v>125507.47</v>
      </c>
      <c r="Q237" s="383">
        <f>'[46]Flujos Vencimientos'!$O$15</f>
        <v>11550.38</v>
      </c>
      <c r="R237" s="382">
        <f>'[46]Flujos Vencimientos'!$P$15</f>
        <v>127095.93</v>
      </c>
      <c r="S237" s="383">
        <f>'[46]Flujos Vencimientos'!$Q$15</f>
        <v>9961.92</v>
      </c>
      <c r="T237" s="382">
        <f>'[46]Flujos Vencimientos'!$R$15</f>
        <v>128704.48</v>
      </c>
      <c r="U237" s="383">
        <f>'[46]Flujos Vencimientos'!$S$15</f>
        <v>8353.37</v>
      </c>
      <c r="V237" s="382">
        <f>'[46]Flujos Vencimientos'!$T$15</f>
        <v>130333.4</v>
      </c>
      <c r="W237" s="383">
        <f>'[46]Flujos Vencimientos'!$U$15</f>
        <v>6724.45</v>
      </c>
      <c r="X237" s="382">
        <f>'[46]Flujos Vencimientos'!$V$15</f>
        <v>131982.93</v>
      </c>
      <c r="Y237" s="383">
        <f>'[46]Flujos Vencimientos'!$W$15</f>
        <v>5074.92</v>
      </c>
      <c r="Z237" s="382">
        <f>'[46]Flujos Vencimientos'!$X$15</f>
        <v>133653.34</v>
      </c>
      <c r="AA237" s="383">
        <f>'[46]Flujos Vencimientos'!$Y$15</f>
        <v>3404.51</v>
      </c>
      <c r="AB237" s="51">
        <f t="shared" si="65"/>
        <v>1498059.3699999999</v>
      </c>
      <c r="AC237" s="50">
        <f t="shared" si="66"/>
        <v>146634.79000000004</v>
      </c>
    </row>
    <row r="238" spans="1:29" ht="12.75">
      <c r="A238" s="134" t="s">
        <v>130</v>
      </c>
      <c r="B238" s="32">
        <f aca="true" t="shared" si="69" ref="B238:AC238">SUM(B239:B241)</f>
        <v>50262.6</v>
      </c>
      <c r="C238" s="31">
        <f t="shared" si="69"/>
        <v>54676.92</v>
      </c>
      <c r="D238" s="32">
        <f t="shared" si="69"/>
        <v>50262.6</v>
      </c>
      <c r="E238" s="31">
        <f t="shared" si="69"/>
        <v>49154.26</v>
      </c>
      <c r="F238" s="32">
        <f t="shared" si="69"/>
        <v>50262.6</v>
      </c>
      <c r="G238" s="31">
        <f t="shared" si="69"/>
        <v>54164.66</v>
      </c>
      <c r="H238" s="32">
        <f t="shared" si="69"/>
        <v>50262.6</v>
      </c>
      <c r="I238" s="31">
        <f t="shared" si="69"/>
        <v>52169.54</v>
      </c>
      <c r="J238" s="32">
        <f t="shared" si="69"/>
        <v>50262.6</v>
      </c>
      <c r="K238" s="31">
        <f t="shared" si="69"/>
        <v>53652.39</v>
      </c>
      <c r="L238" s="32">
        <f t="shared" si="69"/>
        <v>50262.6</v>
      </c>
      <c r="M238" s="31">
        <f t="shared" si="69"/>
        <v>51673.8</v>
      </c>
      <c r="N238" s="32">
        <f t="shared" si="69"/>
        <v>301575.6</v>
      </c>
      <c r="O238" s="31">
        <f t="shared" si="69"/>
        <v>315491.57</v>
      </c>
      <c r="P238" s="32">
        <f t="shared" si="69"/>
        <v>50262.6</v>
      </c>
      <c r="Q238" s="31">
        <f t="shared" si="69"/>
        <v>53140.13</v>
      </c>
      <c r="R238" s="32">
        <f t="shared" si="69"/>
        <v>50262.6</v>
      </c>
      <c r="S238" s="31">
        <f t="shared" si="69"/>
        <v>52883.99</v>
      </c>
      <c r="T238" s="32">
        <f t="shared" si="69"/>
        <v>50262.6</v>
      </c>
      <c r="U238" s="31">
        <f t="shared" si="69"/>
        <v>50930.19</v>
      </c>
      <c r="V238" s="32">
        <f t="shared" si="69"/>
        <v>50262.6</v>
      </c>
      <c r="W238" s="31">
        <f t="shared" si="69"/>
        <v>52371.73</v>
      </c>
      <c r="X238" s="32">
        <f t="shared" si="69"/>
        <v>50262.6</v>
      </c>
      <c r="Y238" s="31">
        <f t="shared" si="69"/>
        <v>50434.45</v>
      </c>
      <c r="Z238" s="32">
        <f t="shared" si="69"/>
        <v>50262.6</v>
      </c>
      <c r="AA238" s="31">
        <f t="shared" si="69"/>
        <v>51859.46</v>
      </c>
      <c r="AB238" s="32">
        <f t="shared" si="69"/>
        <v>603151.1999999998</v>
      </c>
      <c r="AC238" s="31">
        <f t="shared" si="69"/>
        <v>627111.5199999999</v>
      </c>
    </row>
    <row r="239" spans="1:29" ht="12.75">
      <c r="A239" s="5" t="s">
        <v>22</v>
      </c>
      <c r="B239" s="545">
        <f>'[68]Flujo vencimientos'!B$15</f>
        <v>50262.6</v>
      </c>
      <c r="C239" s="546">
        <f>'[68]Flujo vencimientos'!C$15</f>
        <v>54676.92</v>
      </c>
      <c r="D239" s="545">
        <f>'[68]Flujo vencimientos'!D$15</f>
        <v>50262.6</v>
      </c>
      <c r="E239" s="546">
        <f>'[68]Flujo vencimientos'!E$15</f>
        <v>49154.26</v>
      </c>
      <c r="F239" s="545">
        <f>'[68]Flujo vencimientos'!F$15</f>
        <v>50262.6</v>
      </c>
      <c r="G239" s="546">
        <f>'[68]Flujo vencimientos'!G$15</f>
        <v>54164.66</v>
      </c>
      <c r="H239" s="545">
        <f>'[68]Flujo vencimientos'!H$15</f>
        <v>50262.6</v>
      </c>
      <c r="I239" s="546">
        <f>'[68]Flujo vencimientos'!I$15</f>
        <v>52169.54</v>
      </c>
      <c r="J239" s="545">
        <f>'[68]Flujo vencimientos'!J$15</f>
        <v>50262.6</v>
      </c>
      <c r="K239" s="546">
        <f>'[68]Flujo vencimientos'!K$15</f>
        <v>53652.39</v>
      </c>
      <c r="L239" s="545">
        <f>'[68]Flujo vencimientos'!L$15</f>
        <v>50262.6</v>
      </c>
      <c r="M239" s="546">
        <f>'[68]Flujo vencimientos'!M$15</f>
        <v>51673.8</v>
      </c>
      <c r="N239" s="547">
        <f>B239+D239+F239+H239+J239+L239</f>
        <v>301575.6</v>
      </c>
      <c r="O239" s="84">
        <f>C239+E239+G239+I239+K239+M239</f>
        <v>315491.57</v>
      </c>
      <c r="P239" s="545">
        <f>'[68]Flujo vencimientos'!N$15</f>
        <v>50262.6</v>
      </c>
      <c r="Q239" s="546">
        <f>'[68]Flujo vencimientos'!O$15</f>
        <v>53140.13</v>
      </c>
      <c r="R239" s="545">
        <f>'[68]Flujo vencimientos'!P$15</f>
        <v>50262.6</v>
      </c>
      <c r="S239" s="546">
        <f>'[68]Flujo vencimientos'!Q$15</f>
        <v>52883.99</v>
      </c>
      <c r="T239" s="545">
        <f>'[68]Flujo vencimientos'!R$15</f>
        <v>50262.6</v>
      </c>
      <c r="U239" s="546">
        <f>'[68]Flujo vencimientos'!S$15</f>
        <v>50930.19</v>
      </c>
      <c r="V239" s="545">
        <f>'[68]Flujo vencimientos'!T$15</f>
        <v>50262.6</v>
      </c>
      <c r="W239" s="546">
        <f>'[68]Flujo vencimientos'!U$15</f>
        <v>52371.73</v>
      </c>
      <c r="X239" s="545">
        <f>'[68]Flujo vencimientos'!V$15</f>
        <v>50262.6</v>
      </c>
      <c r="Y239" s="546">
        <f>'[68]Flujo vencimientos'!W$15</f>
        <v>50434.45</v>
      </c>
      <c r="Z239" s="545">
        <f>'[68]Flujo vencimientos'!X$15</f>
        <v>50262.6</v>
      </c>
      <c r="AA239" s="546">
        <f>'[68]Flujo vencimientos'!Y$15</f>
        <v>51859.46</v>
      </c>
      <c r="AB239" s="547">
        <f>+N239+P239+R239+T239+V239+X239+Z239</f>
        <v>603151.1999999998</v>
      </c>
      <c r="AC239" s="84">
        <f>O239+Q239+S239+U239+W239+Y239+AA239</f>
        <v>627111.5199999999</v>
      </c>
    </row>
    <row r="240" spans="1:29" ht="12.75" hidden="1">
      <c r="A240" s="5" t="s">
        <v>8</v>
      </c>
      <c r="B240" s="545"/>
      <c r="C240" s="546"/>
      <c r="D240" s="545"/>
      <c r="E240" s="546"/>
      <c r="F240" s="545"/>
      <c r="G240" s="546"/>
      <c r="H240" s="545"/>
      <c r="I240" s="546"/>
      <c r="J240" s="545"/>
      <c r="K240" s="546"/>
      <c r="L240" s="545"/>
      <c r="M240" s="546"/>
      <c r="N240" s="547">
        <f t="shared" si="62"/>
        <v>0</v>
      </c>
      <c r="O240" s="84">
        <f t="shared" si="63"/>
        <v>0</v>
      </c>
      <c r="P240" s="545"/>
      <c r="Q240" s="546"/>
      <c r="R240" s="545"/>
      <c r="S240" s="546"/>
      <c r="T240" s="545"/>
      <c r="U240" s="546"/>
      <c r="V240" s="545"/>
      <c r="W240" s="546"/>
      <c r="X240" s="545"/>
      <c r="Y240" s="546"/>
      <c r="Z240" s="545"/>
      <c r="AA240" s="546"/>
      <c r="AB240" s="547">
        <f t="shared" si="65"/>
        <v>0</v>
      </c>
      <c r="AC240" s="84">
        <f t="shared" si="66"/>
        <v>0</v>
      </c>
    </row>
    <row r="241" spans="1:29" ht="12.75" hidden="1">
      <c r="A241" s="5" t="s">
        <v>11</v>
      </c>
      <c r="B241" s="545"/>
      <c r="C241" s="546"/>
      <c r="D241" s="545"/>
      <c r="E241" s="546"/>
      <c r="F241" s="545"/>
      <c r="G241" s="546"/>
      <c r="H241" s="545"/>
      <c r="I241" s="546"/>
      <c r="J241" s="545"/>
      <c r="K241" s="546"/>
      <c r="L241" s="545"/>
      <c r="M241" s="546"/>
      <c r="N241" s="547">
        <f t="shared" si="62"/>
        <v>0</v>
      </c>
      <c r="O241" s="84">
        <f t="shared" si="63"/>
        <v>0</v>
      </c>
      <c r="P241" s="545"/>
      <c r="Q241" s="546"/>
      <c r="R241" s="545"/>
      <c r="S241" s="546"/>
      <c r="T241" s="545"/>
      <c r="U241" s="546"/>
      <c r="V241" s="545"/>
      <c r="W241" s="546"/>
      <c r="X241" s="545"/>
      <c r="Y241" s="546"/>
      <c r="Z241" s="545"/>
      <c r="AA241" s="546"/>
      <c r="AB241" s="547">
        <f t="shared" si="65"/>
        <v>0</v>
      </c>
      <c r="AC241" s="84">
        <f t="shared" si="66"/>
        <v>0</v>
      </c>
    </row>
    <row r="242" spans="1:29" s="1" customFormat="1" ht="12">
      <c r="A242" s="134" t="s">
        <v>179</v>
      </c>
      <c r="B242" s="32">
        <f>SUM(B243:B247)</f>
        <v>1729642.6400000001</v>
      </c>
      <c r="C242" s="31">
        <f>SUM(C243:C247)</f>
        <v>493370.32</v>
      </c>
      <c r="D242" s="32">
        <f aca="true" t="shared" si="70" ref="D242:M242">SUM(D243:D247)</f>
        <v>106858.98000000001</v>
      </c>
      <c r="E242" s="31">
        <f t="shared" si="70"/>
        <v>25803.11</v>
      </c>
      <c r="F242" s="32">
        <f t="shared" si="70"/>
        <v>361298.86</v>
      </c>
      <c r="G242" s="31">
        <f t="shared" si="70"/>
        <v>150771.24</v>
      </c>
      <c r="H242" s="32">
        <f t="shared" si="70"/>
        <v>108887.76000000001</v>
      </c>
      <c r="I242" s="31">
        <f t="shared" si="70"/>
        <v>23774.34</v>
      </c>
      <c r="J242" s="32">
        <f t="shared" si="70"/>
        <v>109919.1</v>
      </c>
      <c r="K242" s="31">
        <f t="shared" si="70"/>
        <v>22743</v>
      </c>
      <c r="L242" s="32">
        <f t="shared" si="70"/>
        <v>110961.92000000001</v>
      </c>
      <c r="M242" s="31">
        <f t="shared" si="70"/>
        <v>21700.17</v>
      </c>
      <c r="N242" s="32">
        <f t="shared" si="62"/>
        <v>2527569.2600000002</v>
      </c>
      <c r="O242" s="31">
        <f t="shared" si="63"/>
        <v>738162.1799999999</v>
      </c>
      <c r="P242" s="32">
        <f aca="true" t="shared" si="71" ref="P242:AA242">SUM(P243:P247)</f>
        <v>1819929.8800000001</v>
      </c>
      <c r="Q242" s="31">
        <f t="shared" si="71"/>
        <v>403083.07</v>
      </c>
      <c r="R242" s="32">
        <f t="shared" si="71"/>
        <v>113082.55</v>
      </c>
      <c r="S242" s="31">
        <f t="shared" si="71"/>
        <v>19579.55</v>
      </c>
      <c r="T242" s="32">
        <f t="shared" si="71"/>
        <v>388892.61</v>
      </c>
      <c r="U242" s="31">
        <f t="shared" si="71"/>
        <v>123177.48</v>
      </c>
      <c r="V242" s="32">
        <f t="shared" si="71"/>
        <v>58408.52</v>
      </c>
      <c r="W242" s="31">
        <f t="shared" si="71"/>
        <v>17411.36</v>
      </c>
      <c r="X242" s="32">
        <f t="shared" si="71"/>
        <v>58772.81</v>
      </c>
      <c r="Y242" s="31">
        <f t="shared" si="71"/>
        <v>17047.07</v>
      </c>
      <c r="Z242" s="32">
        <f t="shared" si="71"/>
        <v>59139.84</v>
      </c>
      <c r="AA242" s="31">
        <f t="shared" si="71"/>
        <v>16680.04</v>
      </c>
      <c r="AB242" s="32">
        <f t="shared" si="65"/>
        <v>5025795.47</v>
      </c>
      <c r="AC242" s="31">
        <f t="shared" si="66"/>
        <v>1335140.7500000002</v>
      </c>
    </row>
    <row r="243" spans="1:29" s="1" customFormat="1" ht="12">
      <c r="A243" s="34" t="str">
        <f>A201</f>
        <v>Capital (Supervielle)</v>
      </c>
      <c r="B243" s="81">
        <f>'[22]Flujos Vencimientos'!$B$15</f>
        <v>1623781.36</v>
      </c>
      <c r="C243" s="82">
        <f>'[22]Flujos Vencimientos'!$C$15</f>
        <v>466569.51</v>
      </c>
      <c r="D243" s="79"/>
      <c r="E243" s="80"/>
      <c r="F243" s="79"/>
      <c r="G243" s="80"/>
      <c r="H243" s="79"/>
      <c r="I243" s="80"/>
      <c r="J243" s="79"/>
      <c r="K243" s="80"/>
      <c r="L243" s="79"/>
      <c r="M243" s="80"/>
      <c r="N243" s="51">
        <f t="shared" si="62"/>
        <v>1623781.36</v>
      </c>
      <c r="O243" s="50">
        <f t="shared" si="63"/>
        <v>466569.51</v>
      </c>
      <c r="P243" s="81">
        <f>'[22]Flujos Vencimientos'!$N$15</f>
        <v>1707913.53</v>
      </c>
      <c r="Q243" s="82">
        <f>'[22]Flujos Vencimientos'!$O$15</f>
        <v>382437.34</v>
      </c>
      <c r="R243" s="79"/>
      <c r="S243" s="80"/>
      <c r="T243" s="79"/>
      <c r="U243" s="80"/>
      <c r="V243" s="79"/>
      <c r="W243" s="80"/>
      <c r="X243" s="79"/>
      <c r="Y243" s="80"/>
      <c r="Z243" s="79"/>
      <c r="AA243" s="80"/>
      <c r="AB243" s="51">
        <f>+N243+P243+R243+T243+V243+X243+Z243</f>
        <v>3331694.89</v>
      </c>
      <c r="AC243" s="50">
        <f>O243+Q243+S243+U243+W243+Y243+AA243</f>
        <v>849006.8500000001</v>
      </c>
    </row>
    <row r="244" spans="1:29" s="1" customFormat="1" ht="12">
      <c r="A244" s="34" t="str">
        <f>A202</f>
        <v>Luján (Credicoop)</v>
      </c>
      <c r="B244" s="81">
        <f>'[28]Flujos Vencimientos'!B$15</f>
        <v>50611.77</v>
      </c>
      <c r="C244" s="82">
        <f>'[28]Flujos Vencimientos'!C$15</f>
        <v>6230.44</v>
      </c>
      <c r="D244" s="81">
        <f>'[28]Flujos Vencimientos'!D$15</f>
        <v>51268.87</v>
      </c>
      <c r="E244" s="82">
        <f>'[28]Flujos Vencimientos'!E$15</f>
        <v>5573.35</v>
      </c>
      <c r="F244" s="81">
        <f>'[28]Flujos Vencimientos'!F$15</f>
        <v>51934.49</v>
      </c>
      <c r="G244" s="82">
        <f>'[28]Flujos Vencimientos'!G$15</f>
        <v>4907.73</v>
      </c>
      <c r="H244" s="81">
        <f>'[28]Flujos Vencimientos'!H$15</f>
        <v>52608.76</v>
      </c>
      <c r="I244" s="82">
        <f>'[28]Flujos Vencimientos'!I$15</f>
        <v>4233.46</v>
      </c>
      <c r="J244" s="81">
        <f>'[28]Flujos Vencimientos'!J$15</f>
        <v>53291.78</v>
      </c>
      <c r="K244" s="82">
        <f>'[28]Flujos Vencimientos'!K$15</f>
        <v>3550.44</v>
      </c>
      <c r="L244" s="81">
        <f>'[28]Flujos Vencimientos'!L$15</f>
        <v>53983.66</v>
      </c>
      <c r="M244" s="82">
        <f>'[28]Flujos Vencimientos'!M$15</f>
        <v>2858.55</v>
      </c>
      <c r="N244" s="51">
        <f t="shared" si="62"/>
        <v>313699.33</v>
      </c>
      <c r="O244" s="50">
        <f t="shared" si="63"/>
        <v>27353.969999999998</v>
      </c>
      <c r="P244" s="81">
        <f>'[28]Flujos Vencimientos'!N$15</f>
        <v>54684.53</v>
      </c>
      <c r="Q244" s="82">
        <f>'[28]Flujos Vencimientos'!O$15</f>
        <v>2157.68</v>
      </c>
      <c r="R244" s="81">
        <f>'[28]Flujos Vencimientos'!P$15</f>
        <v>55394.51</v>
      </c>
      <c r="S244" s="82">
        <f>'[28]Flujos Vencimientos'!Q$15</f>
        <v>1447.71</v>
      </c>
      <c r="T244" s="81">
        <f>'[28]Flujos Vencimientos'!R$15</f>
        <v>56113.69</v>
      </c>
      <c r="U244" s="82">
        <f>'[28]Flujos Vencimientos'!S$15</f>
        <v>728.52</v>
      </c>
      <c r="V244" s="81"/>
      <c r="W244" s="82"/>
      <c r="X244" s="81"/>
      <c r="Y244" s="82"/>
      <c r="Z244" s="81"/>
      <c r="AA244" s="82"/>
      <c r="AB244" s="51">
        <f t="shared" si="65"/>
        <v>479892.06</v>
      </c>
      <c r="AC244" s="50">
        <f t="shared" si="66"/>
        <v>31687.879999999997</v>
      </c>
    </row>
    <row r="245" spans="1:29" s="1" customFormat="1" ht="12">
      <c r="A245" s="34" t="str">
        <f>A203</f>
        <v>Maipú (ENOSHA)</v>
      </c>
      <c r="B245" s="81">
        <f>'[19]Flujo para el libro'!B$15</f>
        <v>45413.51</v>
      </c>
      <c r="C245" s="82">
        <f>'[19]Flujo para el libro'!C$15</f>
        <v>20570.37</v>
      </c>
      <c r="D245" s="81">
        <f>'[19]Flujo para el libro'!D$15</f>
        <v>45754.11</v>
      </c>
      <c r="E245" s="82">
        <f>'[19]Flujo para el libro'!E$15</f>
        <v>20229.76</v>
      </c>
      <c r="F245" s="81">
        <f>'[19]Flujo para el libro'!F$15</f>
        <v>46097.27</v>
      </c>
      <c r="G245" s="82">
        <f>'[19]Flujo para el libro'!G$15</f>
        <v>19886.61</v>
      </c>
      <c r="H245" s="81">
        <f>'[19]Flujo para el libro'!H$15</f>
        <v>46443</v>
      </c>
      <c r="I245" s="82">
        <f>'[19]Flujo para el libro'!I$15</f>
        <v>19540.88</v>
      </c>
      <c r="J245" s="81">
        <f>'[19]Flujo para el libro'!J$15</f>
        <v>46791.32</v>
      </c>
      <c r="K245" s="82">
        <f>'[19]Flujo para el libro'!K$15</f>
        <v>19192.56</v>
      </c>
      <c r="L245" s="81">
        <f>'[19]Flujo para el libro'!L$15</f>
        <v>47142.26</v>
      </c>
      <c r="M245" s="82">
        <f>'[19]Flujo para el libro'!M$15</f>
        <v>18841.62</v>
      </c>
      <c r="N245" s="51">
        <f t="shared" si="62"/>
        <v>277641.47</v>
      </c>
      <c r="O245" s="50">
        <f t="shared" si="63"/>
        <v>118261.79999999999</v>
      </c>
      <c r="P245" s="81">
        <f>'[19]Flujo para el libro'!N$15</f>
        <v>47495.82</v>
      </c>
      <c r="Q245" s="82">
        <f>'[19]Flujo para el libro'!O$15</f>
        <v>18488.05</v>
      </c>
      <c r="R245" s="81">
        <f>'[19]Flujo para el libro'!P$15</f>
        <v>47852.04</v>
      </c>
      <c r="S245" s="82">
        <f>'[19]Flujo para el libro'!Q$15</f>
        <v>18131.84</v>
      </c>
      <c r="T245" s="81">
        <f>'[19]Flujo para el libro'!R$15</f>
        <v>48210.93</v>
      </c>
      <c r="U245" s="82">
        <f>'[19]Flujo para el libro'!S$15</f>
        <v>17772.95</v>
      </c>
      <c r="V245" s="81">
        <f>'[19]Flujo para el libro'!T$15</f>
        <v>48572.52</v>
      </c>
      <c r="W245" s="82">
        <f>'[19]Flujo para el libro'!U$15</f>
        <v>17411.36</v>
      </c>
      <c r="X245" s="81">
        <f>'[19]Flujo para el libro'!V$15</f>
        <v>48936.81</v>
      </c>
      <c r="Y245" s="82">
        <f>'[19]Flujo para el libro'!W$15</f>
        <v>17047.07</v>
      </c>
      <c r="Z245" s="81">
        <f>'[19]Flujo para el libro'!X$15</f>
        <v>49303.84</v>
      </c>
      <c r="AA245" s="82">
        <f>'[19]Flujo para el libro'!Y$15</f>
        <v>16680.04</v>
      </c>
      <c r="AB245" s="51">
        <f t="shared" si="65"/>
        <v>568013.4299999999</v>
      </c>
      <c r="AC245" s="50">
        <f t="shared" si="66"/>
        <v>223793.11000000002</v>
      </c>
    </row>
    <row r="246" spans="1:29" s="1" customFormat="1" ht="12">
      <c r="A246" s="34" t="s">
        <v>210</v>
      </c>
      <c r="B246" s="81"/>
      <c r="C246" s="82"/>
      <c r="D246" s="81"/>
      <c r="E246" s="82"/>
      <c r="F246" s="81">
        <f>'[14]Flujos Vencimientos'!$F$15</f>
        <v>253431.1</v>
      </c>
      <c r="G246" s="82">
        <f>'[14]Flujos Vencimientos'!$G$15</f>
        <v>125976.9</v>
      </c>
      <c r="H246" s="81"/>
      <c r="I246" s="82"/>
      <c r="J246" s="81"/>
      <c r="K246" s="82"/>
      <c r="L246" s="81"/>
      <c r="M246" s="82"/>
      <c r="N246" s="51">
        <f t="shared" si="62"/>
        <v>253431.1</v>
      </c>
      <c r="O246" s="50">
        <f t="shared" si="63"/>
        <v>125976.9</v>
      </c>
      <c r="P246" s="81"/>
      <c r="Q246" s="82"/>
      <c r="R246" s="81"/>
      <c r="S246" s="82"/>
      <c r="T246" s="81">
        <f>'[14]Flujos Vencimientos'!$R$15</f>
        <v>274731.99</v>
      </c>
      <c r="U246" s="82">
        <f>'[14]Flujos Vencimientos'!$S$15</f>
        <v>104676.01</v>
      </c>
      <c r="V246" s="81"/>
      <c r="W246" s="82"/>
      <c r="X246" s="81"/>
      <c r="Y246" s="82"/>
      <c r="Z246" s="81"/>
      <c r="AA246" s="82"/>
      <c r="AB246" s="51">
        <f t="shared" si="65"/>
        <v>528163.09</v>
      </c>
      <c r="AC246" s="50">
        <f t="shared" si="66"/>
        <v>230652.90999999997</v>
      </c>
    </row>
    <row r="247" spans="1:29" s="1" customFormat="1" ht="12.75" thickBot="1">
      <c r="A247" s="431" t="str">
        <f>A205</f>
        <v>Tupungato (DAABO)</v>
      </c>
      <c r="B247" s="291">
        <f>'[1]Flujos Vencimientos'!B$15</f>
        <v>9836</v>
      </c>
      <c r="C247" s="292"/>
      <c r="D247" s="291">
        <f>'[1]Flujos Vencimientos'!D$15</f>
        <v>9836</v>
      </c>
      <c r="E247" s="292"/>
      <c r="F247" s="291">
        <f>'[1]Flujos Vencimientos'!F$15</f>
        <v>9836</v>
      </c>
      <c r="G247" s="292"/>
      <c r="H247" s="291">
        <f>'[1]Flujos Vencimientos'!H$15</f>
        <v>9836</v>
      </c>
      <c r="I247" s="292"/>
      <c r="J247" s="291">
        <f>'[1]Flujos Vencimientos'!J$15</f>
        <v>9836</v>
      </c>
      <c r="K247" s="292"/>
      <c r="L247" s="291">
        <f>'[1]Flujos Vencimientos'!L$15</f>
        <v>9836</v>
      </c>
      <c r="M247" s="292"/>
      <c r="N247" s="51">
        <f t="shared" si="62"/>
        <v>59016</v>
      </c>
      <c r="O247" s="50">
        <f t="shared" si="63"/>
        <v>0</v>
      </c>
      <c r="P247" s="291">
        <f>'[1]Flujos Vencimientos'!N$15</f>
        <v>9836</v>
      </c>
      <c r="Q247" s="292"/>
      <c r="R247" s="291">
        <f>'[1]Flujos Vencimientos'!P$15</f>
        <v>9836</v>
      </c>
      <c r="S247" s="292"/>
      <c r="T247" s="291">
        <f>'[1]Flujos Vencimientos'!R$15</f>
        <v>9836</v>
      </c>
      <c r="U247" s="292"/>
      <c r="V247" s="291">
        <f>'[1]Flujos Vencimientos'!T$15</f>
        <v>9836</v>
      </c>
      <c r="W247" s="292"/>
      <c r="X247" s="291">
        <f>'[1]Flujos Vencimientos'!V$15</f>
        <v>9836</v>
      </c>
      <c r="Y247" s="292"/>
      <c r="Z247" s="291">
        <f>'[1]Flujos Vencimientos'!X$15</f>
        <v>9836</v>
      </c>
      <c r="AA247" s="292"/>
      <c r="AB247" s="51">
        <f t="shared" si="65"/>
        <v>118032</v>
      </c>
      <c r="AC247" s="50">
        <f t="shared" si="66"/>
        <v>0</v>
      </c>
    </row>
    <row r="248" spans="1:29" s="42" customFormat="1" ht="12.75" thickBot="1">
      <c r="A248" s="30" t="s">
        <v>121</v>
      </c>
      <c r="B248" s="28">
        <f>+B229+B233+B238+B242</f>
        <v>2857555.45</v>
      </c>
      <c r="C248" s="27">
        <f>+C229+C233+C238+C242</f>
        <v>751078.1399999999</v>
      </c>
      <c r="D248" s="28">
        <f aca="true" t="shared" si="72" ref="D248:M248">+D229+D233+D238+D242</f>
        <v>1245441.9200000002</v>
      </c>
      <c r="E248" s="27">
        <f t="shared" si="72"/>
        <v>267156.11</v>
      </c>
      <c r="F248" s="28">
        <f t="shared" si="72"/>
        <v>1510668.9</v>
      </c>
      <c r="G248" s="27">
        <f t="shared" si="72"/>
        <v>393353.19999999995</v>
      </c>
      <c r="H248" s="28">
        <f t="shared" si="72"/>
        <v>1269163.24</v>
      </c>
      <c r="I248" s="27">
        <f t="shared" si="72"/>
        <v>255760.31999999998</v>
      </c>
      <c r="J248" s="28">
        <f t="shared" si="72"/>
        <v>1281219.77</v>
      </c>
      <c r="K248" s="27">
        <f t="shared" si="72"/>
        <v>249792.79000000004</v>
      </c>
      <c r="L248" s="28">
        <f t="shared" si="72"/>
        <v>1293408.9700000002</v>
      </c>
      <c r="M248" s="27">
        <f t="shared" si="72"/>
        <v>238014.43</v>
      </c>
      <c r="N248" s="28">
        <f t="shared" si="62"/>
        <v>9457458.25</v>
      </c>
      <c r="O248" s="27">
        <f t="shared" si="63"/>
        <v>2155154.9899999998</v>
      </c>
      <c r="P248" s="28">
        <f aca="true" t="shared" si="73" ref="P248:AA248">+P229+P233+P238+P242</f>
        <v>3013645.9300000006</v>
      </c>
      <c r="Q248" s="27">
        <f t="shared" si="73"/>
        <v>614183.5900000001</v>
      </c>
      <c r="R248" s="28">
        <f t="shared" si="73"/>
        <v>1318191.6900000002</v>
      </c>
      <c r="S248" s="27">
        <f t="shared" si="73"/>
        <v>222545.50999999998</v>
      </c>
      <c r="T248" s="28">
        <f t="shared" si="73"/>
        <v>1605520.4</v>
      </c>
      <c r="U248" s="27">
        <f t="shared" si="73"/>
        <v>315191.29</v>
      </c>
      <c r="V248" s="28">
        <f t="shared" si="73"/>
        <v>1286682.04</v>
      </c>
      <c r="W248" s="27">
        <f t="shared" si="73"/>
        <v>203781.34000000003</v>
      </c>
      <c r="X248" s="28">
        <f t="shared" si="73"/>
        <v>1298820.6400000001</v>
      </c>
      <c r="Y248" s="27">
        <f t="shared" si="73"/>
        <v>192315.47000000003</v>
      </c>
      <c r="Z248" s="28">
        <f t="shared" si="73"/>
        <v>1311092.08</v>
      </c>
      <c r="AA248" s="27">
        <f t="shared" si="73"/>
        <v>186008.48</v>
      </c>
      <c r="AB248" s="28">
        <f t="shared" si="65"/>
        <v>19291411.03</v>
      </c>
      <c r="AC248" s="27">
        <f t="shared" si="66"/>
        <v>3889180.67</v>
      </c>
    </row>
    <row r="249" spans="1:29" s="295" customFormat="1" ht="6" customHeight="1" thickBot="1">
      <c r="A249" s="77"/>
      <c r="B249" s="294"/>
      <c r="C249" s="294"/>
      <c r="D249" s="294"/>
      <c r="E249" s="294"/>
      <c r="F249" s="294"/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  <c r="AB249" s="294"/>
      <c r="AC249" s="294"/>
    </row>
    <row r="250" spans="1:29" ht="15.75" thickBot="1">
      <c r="A250" s="87" t="s">
        <v>93</v>
      </c>
      <c r="B250" s="28">
        <f>B226+B248</f>
        <v>3625986.4400000004</v>
      </c>
      <c r="C250" s="27">
        <f aca="true" t="shared" si="74" ref="C250:M250">C226+C248</f>
        <v>860721.6499999999</v>
      </c>
      <c r="D250" s="28">
        <f t="shared" si="74"/>
        <v>2016656.7000000002</v>
      </c>
      <c r="E250" s="27">
        <f t="shared" si="74"/>
        <v>365364.5</v>
      </c>
      <c r="F250" s="28">
        <f t="shared" si="74"/>
        <v>2284678.03</v>
      </c>
      <c r="G250" s="27">
        <f t="shared" si="74"/>
        <v>501163.1</v>
      </c>
      <c r="H250" s="28">
        <f t="shared" si="74"/>
        <v>2045976.3800000001</v>
      </c>
      <c r="I250" s="27">
        <f t="shared" si="74"/>
        <v>359193.55</v>
      </c>
      <c r="J250" s="28">
        <f t="shared" si="74"/>
        <v>2060847.52</v>
      </c>
      <c r="K250" s="27">
        <f t="shared" si="74"/>
        <v>355736.66000000003</v>
      </c>
      <c r="L250" s="28">
        <f t="shared" si="74"/>
        <v>2075861.09</v>
      </c>
      <c r="M250" s="27">
        <f t="shared" si="74"/>
        <v>339625.89</v>
      </c>
      <c r="N250" s="28">
        <f>B250+D250+F250+H250+J250+L250</f>
        <v>14110006.16</v>
      </c>
      <c r="O250" s="27">
        <f>C250+E250+G250+I250+K250+M250</f>
        <v>2781805.35</v>
      </c>
      <c r="P250" s="28">
        <f aca="true" t="shared" si="75" ref="P250:AA250">P226+P248</f>
        <v>3798933.1000000006</v>
      </c>
      <c r="Q250" s="27">
        <f t="shared" si="75"/>
        <v>718228.7500000001</v>
      </c>
      <c r="R250" s="28">
        <f t="shared" si="75"/>
        <v>2106323.71</v>
      </c>
      <c r="S250" s="27">
        <f t="shared" si="75"/>
        <v>325628.93</v>
      </c>
      <c r="T250" s="28">
        <f t="shared" si="75"/>
        <v>2396508.0599999996</v>
      </c>
      <c r="U250" s="27">
        <f t="shared" si="75"/>
        <v>414010.58999999997</v>
      </c>
      <c r="V250" s="28">
        <f t="shared" si="75"/>
        <v>2080535.23</v>
      </c>
      <c r="W250" s="27">
        <f t="shared" si="75"/>
        <v>304916.05000000005</v>
      </c>
      <c r="X250" s="28">
        <f t="shared" si="75"/>
        <v>2095550.19</v>
      </c>
      <c r="Y250" s="27">
        <f t="shared" si="75"/>
        <v>289232.71</v>
      </c>
      <c r="Z250" s="28">
        <f t="shared" si="75"/>
        <v>2110707.94</v>
      </c>
      <c r="AA250" s="27">
        <f t="shared" si="75"/>
        <v>285160.84</v>
      </c>
      <c r="AB250" s="28">
        <f>+N250+P250+R250+T250+V250+X250+Z250</f>
        <v>28698564.390000004</v>
      </c>
      <c r="AC250" s="27">
        <f>O250+Q250+S250+U250+W250+Y250+AA250</f>
        <v>5118983.22</v>
      </c>
    </row>
    <row r="253" spans="1:30" ht="27" thickBot="1">
      <c r="A253" s="21"/>
      <c r="B253" s="21"/>
      <c r="C253" s="21"/>
      <c r="D253" s="21"/>
      <c r="E253" s="21"/>
      <c r="F253" s="21"/>
      <c r="G253" s="21"/>
      <c r="H253" s="22" t="s">
        <v>138</v>
      </c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2" t="str">
        <f>H253</f>
        <v>AÑO 2016</v>
      </c>
      <c r="W253" s="21"/>
      <c r="X253" s="21"/>
      <c r="Y253" s="21"/>
      <c r="Z253" s="21"/>
      <c r="AA253" s="21"/>
      <c r="AB253" s="755"/>
      <c r="AC253" s="755"/>
      <c r="AD253" s="16" t="str">
        <f>V253</f>
        <v>AÑO 2016</v>
      </c>
    </row>
    <row r="254" spans="1:29" s="42" customFormat="1" ht="12.75" thickBot="1">
      <c r="A254" s="45" t="s">
        <v>96</v>
      </c>
      <c r="B254" s="44"/>
      <c r="C254" s="44"/>
      <c r="D254" s="44"/>
      <c r="E254" s="44"/>
      <c r="F254" s="44"/>
      <c r="G254" s="44"/>
      <c r="H254" s="44" t="s">
        <v>144</v>
      </c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 t="str">
        <f>H254</f>
        <v>TOMADOS EN DOLARES</v>
      </c>
      <c r="W254" s="44"/>
      <c r="X254" s="44"/>
      <c r="Y254" s="44"/>
      <c r="Z254" s="44"/>
      <c r="AA254" s="44"/>
      <c r="AB254" s="44"/>
      <c r="AC254" s="52"/>
    </row>
    <row r="255" spans="1:29" ht="12.75">
      <c r="A255" s="75" t="s">
        <v>122</v>
      </c>
      <c r="B255" s="69">
        <f>SUM(B256:B267)</f>
        <v>802513.1100000001</v>
      </c>
      <c r="C255" s="70">
        <f>SUM(C256:C267)</f>
        <v>98148.4</v>
      </c>
      <c r="D255" s="69">
        <f aca="true" t="shared" si="76" ref="D255:M255">SUM(D256:D267)</f>
        <v>805420.4300000002</v>
      </c>
      <c r="E255" s="70">
        <f t="shared" si="76"/>
        <v>90869.15999999999</v>
      </c>
      <c r="F255" s="69">
        <f t="shared" si="76"/>
        <v>808338.66</v>
      </c>
      <c r="G255" s="70">
        <f t="shared" si="76"/>
        <v>96114.72</v>
      </c>
      <c r="H255" s="69">
        <f t="shared" si="76"/>
        <v>811267.0799999998</v>
      </c>
      <c r="I255" s="70">
        <f t="shared" si="76"/>
        <v>92017.65</v>
      </c>
      <c r="J255" s="69">
        <f t="shared" si="76"/>
        <v>814206.49</v>
      </c>
      <c r="K255" s="70">
        <f t="shared" si="76"/>
        <v>94046.35999999999</v>
      </c>
      <c r="L255" s="69">
        <f t="shared" si="76"/>
        <v>817156.1599999999</v>
      </c>
      <c r="M255" s="70">
        <f t="shared" si="76"/>
        <v>89999.15</v>
      </c>
      <c r="N255" s="69">
        <f aca="true" t="shared" si="77" ref="N255:N268">B255+D255+F255+H255+J255+L255</f>
        <v>4858901.930000001</v>
      </c>
      <c r="O255" s="70">
        <f aca="true" t="shared" si="78" ref="O255:O268">C255+E255+G255+I255+K255+M255</f>
        <v>561195.4400000001</v>
      </c>
      <c r="P255" s="69">
        <f aca="true" t="shared" si="79" ref="P255:AA255">SUM(P256:P267)</f>
        <v>820116.91</v>
      </c>
      <c r="Q255" s="70">
        <f t="shared" si="79"/>
        <v>91942.98000000001</v>
      </c>
      <c r="R255" s="69">
        <f t="shared" si="79"/>
        <v>823088.01</v>
      </c>
      <c r="S255" s="70">
        <f t="shared" si="79"/>
        <v>90878.05000000002</v>
      </c>
      <c r="T255" s="69">
        <f t="shared" si="79"/>
        <v>826070.2500000001</v>
      </c>
      <c r="U255" s="70">
        <f t="shared" si="79"/>
        <v>86907.04</v>
      </c>
      <c r="V255" s="69">
        <f t="shared" si="79"/>
        <v>829062.92</v>
      </c>
      <c r="W255" s="70">
        <f t="shared" si="79"/>
        <v>88721.20999999999</v>
      </c>
      <c r="X255" s="69">
        <f t="shared" si="79"/>
        <v>832066.79</v>
      </c>
      <c r="Y255" s="70">
        <f t="shared" si="79"/>
        <v>84802.36</v>
      </c>
      <c r="Z255" s="69">
        <f t="shared" si="79"/>
        <v>835081.19</v>
      </c>
      <c r="AA255" s="70">
        <f t="shared" si="79"/>
        <v>86528.16</v>
      </c>
      <c r="AB255" s="69">
        <f aca="true" t="shared" si="80" ref="AB255:AB268">+N255+P255+R255+T255+V255+X255+Z255</f>
        <v>9824388</v>
      </c>
      <c r="AC255" s="70">
        <f aca="true" t="shared" si="81" ref="AC255:AC268">O255+Q255+S255+U255+W255+Y255+AA255</f>
        <v>1090975.24</v>
      </c>
    </row>
    <row r="256" spans="1:29" ht="12.75">
      <c r="A256" s="34" t="s">
        <v>1</v>
      </c>
      <c r="B256" s="67">
        <f>'[24]Flujo Vencimientos'!B$16</f>
        <v>86588.98</v>
      </c>
      <c r="C256" s="68">
        <f>'[24]Flujo Vencimientos'!C$16</f>
        <v>10589.93</v>
      </c>
      <c r="D256" s="67">
        <f>'[24]Flujo Vencimientos'!D$16</f>
        <v>86902.64</v>
      </c>
      <c r="E256" s="68">
        <f>'[24]Flujo Vencimientos'!E$16</f>
        <v>9804.55</v>
      </c>
      <c r="F256" s="67">
        <f>'[24]Flujo Vencimientos'!F$16</f>
        <v>87217.55</v>
      </c>
      <c r="G256" s="68">
        <f>'[24]Flujo Vencimientos'!G$16</f>
        <v>10370.51</v>
      </c>
      <c r="H256" s="67">
        <f>'[24]Flujo Vencimientos'!H$16</f>
        <v>87533.47</v>
      </c>
      <c r="I256" s="68">
        <f>'[24]Flujo Vencimientos'!I$16</f>
        <v>9928.49</v>
      </c>
      <c r="J256" s="67">
        <f>'[24]Flujo Vencimientos'!J$16</f>
        <v>87850.67</v>
      </c>
      <c r="K256" s="68">
        <f>'[24]Flujo Vencimientos'!K$16</f>
        <v>10147.35</v>
      </c>
      <c r="L256" s="67">
        <f>'[24]Flujo Vencimientos'!L$16</f>
        <v>88168.89</v>
      </c>
      <c r="M256" s="68">
        <f>'[24]Flujo Vencimientos'!M$16</f>
        <v>9710.65</v>
      </c>
      <c r="N256" s="73">
        <f t="shared" si="77"/>
        <v>524262.2</v>
      </c>
      <c r="O256" s="74">
        <f t="shared" si="78"/>
        <v>60551.479999999996</v>
      </c>
      <c r="P256" s="67">
        <f>'[24]Flujo Vencimientos'!N$16</f>
        <v>88488.39</v>
      </c>
      <c r="Q256" s="68">
        <f>'[24]Flujo Vencimientos'!O$16</f>
        <v>9920.41</v>
      </c>
      <c r="R256" s="67">
        <f>'[24]Flujo Vencimientos'!P$16</f>
        <v>88808.92000000001</v>
      </c>
      <c r="S256" s="68">
        <f>'[24]Flujo Vencimientos'!Q$16</f>
        <v>9805.5</v>
      </c>
      <c r="T256" s="67">
        <f>'[24]Flujo Vencimientos'!R$16</f>
        <v>89130.74</v>
      </c>
      <c r="U256" s="68">
        <f>'[24]Flujo Vencimientos'!S$16</f>
        <v>9377.060000000001</v>
      </c>
      <c r="V256" s="67">
        <f>'[24]Flujo Vencimientos'!T$16</f>
        <v>89453.59000000001</v>
      </c>
      <c r="W256" s="68">
        <f>'[24]Flujo Vencimientos'!U$16</f>
        <v>9572.79</v>
      </c>
      <c r="X256" s="67">
        <f>'[24]Flujo Vencimientos'!V$16</f>
        <v>89777.75</v>
      </c>
      <c r="Y256" s="68">
        <f>'[24]Flujo Vencimientos'!W$16</f>
        <v>9149.93</v>
      </c>
      <c r="Z256" s="67">
        <f>'[24]Flujo Vencimientos'!X$16</f>
        <v>90102.95000000001</v>
      </c>
      <c r="AA256" s="68">
        <f>'[24]Flujo Vencimientos'!Y$16</f>
        <v>9336.130000000001</v>
      </c>
      <c r="AB256" s="73">
        <f t="shared" si="80"/>
        <v>1060024.54</v>
      </c>
      <c r="AC256" s="74">
        <f t="shared" si="81"/>
        <v>117713.29999999999</v>
      </c>
    </row>
    <row r="257" spans="1:29" ht="12.75">
      <c r="A257" s="34" t="s">
        <v>21</v>
      </c>
      <c r="B257" s="67">
        <f>'[26]Flujo de Vencimientos'!B$16</f>
        <v>52406.009999999995</v>
      </c>
      <c r="C257" s="68">
        <f>'[26]Flujo de Vencimientos'!C$16</f>
        <v>6409.35</v>
      </c>
      <c r="D257" s="67">
        <f>'[26]Flujo de Vencimientos'!D$16</f>
        <v>52595.88</v>
      </c>
      <c r="E257" s="68">
        <f>'[26]Flujo de Vencimientos'!E$16</f>
        <v>5933.9800000000005</v>
      </c>
      <c r="F257" s="67">
        <f>'[26]Flujo de Vencimientos'!F$16</f>
        <v>52786.43</v>
      </c>
      <c r="G257" s="68">
        <f>'[26]Flujo de Vencimientos'!G$16</f>
        <v>6276.539999999999</v>
      </c>
      <c r="H257" s="67">
        <f>'[26]Flujo de Vencimientos'!H$16</f>
        <v>52977.68</v>
      </c>
      <c r="I257" s="68">
        <f>'[26]Flujo de Vencimientos'!I$16</f>
        <v>6008.97</v>
      </c>
      <c r="J257" s="67">
        <f>'[26]Flujo de Vencimientos'!J$16</f>
        <v>53169.619999999995</v>
      </c>
      <c r="K257" s="68">
        <f>'[26]Flujo de Vencimientos'!K$16</f>
        <v>6141.46</v>
      </c>
      <c r="L257" s="67">
        <f>'[26]Flujo de Vencimientos'!L$16</f>
        <v>53362.25</v>
      </c>
      <c r="M257" s="68">
        <f>'[26]Flujo de Vencimientos'!M$16</f>
        <v>5877.17</v>
      </c>
      <c r="N257" s="73">
        <f t="shared" si="77"/>
        <v>317297.87</v>
      </c>
      <c r="O257" s="74">
        <f t="shared" si="78"/>
        <v>36647.47</v>
      </c>
      <c r="P257" s="67">
        <f>'[26]Flujo de Vencimientos'!N$16</f>
        <v>53555.579999999994</v>
      </c>
      <c r="Q257" s="68">
        <f>'[26]Flujo de Vencimientos'!O$16</f>
        <v>6004.09</v>
      </c>
      <c r="R257" s="67">
        <f>'[26]Flujo de Vencimientos'!P$16</f>
        <v>53749.61</v>
      </c>
      <c r="S257" s="68">
        <f>'[26]Flujo de Vencimientos'!Q$16</f>
        <v>5934.57</v>
      </c>
      <c r="T257" s="67">
        <f>'[26]Flujo de Vencimientos'!R$16</f>
        <v>53944.35</v>
      </c>
      <c r="U257" s="68">
        <f>'[26]Flujo de Vencimientos'!S$16</f>
        <v>5675.26</v>
      </c>
      <c r="V257" s="67">
        <f>'[26]Flujo de Vencimientos'!T$16</f>
        <v>54139.79</v>
      </c>
      <c r="W257" s="68">
        <f>'[26]Flujo de Vencimientos'!U$16</f>
        <v>5793.72</v>
      </c>
      <c r="X257" s="67">
        <f>'[26]Flujo de Vencimientos'!V$16</f>
        <v>54335.939999999995</v>
      </c>
      <c r="Y257" s="68">
        <f>'[26]Flujo de Vencimientos'!W$16</f>
        <v>5537.780000000001</v>
      </c>
      <c r="Z257" s="67">
        <f>'[26]Flujo de Vencimientos'!X$16</f>
        <v>54532.799999999996</v>
      </c>
      <c r="AA257" s="68">
        <f>'[26]Flujo de Vencimientos'!Y$16</f>
        <v>5650.509999999999</v>
      </c>
      <c r="AB257" s="73">
        <f t="shared" si="80"/>
        <v>641555.94</v>
      </c>
      <c r="AC257" s="74">
        <f t="shared" si="81"/>
        <v>71243.4</v>
      </c>
    </row>
    <row r="258" spans="1:29" ht="12.75">
      <c r="A258" s="34" t="s">
        <v>22</v>
      </c>
      <c r="B258" s="67">
        <f>'[41]Flujo Vencimientos'!B$16</f>
        <v>82446.83</v>
      </c>
      <c r="C258" s="67">
        <f>'[41]Flujo Vencimientos'!C$16</f>
        <v>10083.34</v>
      </c>
      <c r="D258" s="67">
        <f>'[41]Flujo Vencimientos'!D$16</f>
        <v>82745.47</v>
      </c>
      <c r="E258" s="67">
        <f>'[41]Flujo Vencimientos'!E$16</f>
        <v>9335.529999999999</v>
      </c>
      <c r="F258" s="67">
        <f>'[41]Flujo Vencimientos'!F$16</f>
        <v>83045.32</v>
      </c>
      <c r="G258" s="67">
        <f>'[41]Flujo Vencimientos'!G$16</f>
        <v>9874.41</v>
      </c>
      <c r="H258" s="67">
        <f>'[41]Flujo Vencimientos'!H$16</f>
        <v>83346.12999999999</v>
      </c>
      <c r="I258" s="67">
        <f>'[41]Flujo Vencimientos'!I$16</f>
        <v>9453.51</v>
      </c>
      <c r="J258" s="67">
        <f>'[41]Flujo Vencimientos'!J$16</f>
        <v>83648.16</v>
      </c>
      <c r="K258" s="67">
        <f>'[41]Flujo Vencimientos'!K$16</f>
        <v>9661.93</v>
      </c>
      <c r="L258" s="67">
        <f>'[41]Flujo Vencimientos'!L$16</f>
        <v>83951.15</v>
      </c>
      <c r="M258" s="67">
        <f>'[41]Flujo Vencimientos'!M$16</f>
        <v>9246.119999999999</v>
      </c>
      <c r="N258" s="73">
        <f t="shared" si="77"/>
        <v>499183.06000000006</v>
      </c>
      <c r="O258" s="74">
        <f t="shared" si="78"/>
        <v>57654.84</v>
      </c>
      <c r="P258" s="67">
        <f>'[41]Flujo Vencimientos'!N$16</f>
        <v>84255.37000000001</v>
      </c>
      <c r="Q258" s="67">
        <f>'[41]Flujo Vencimientos'!O$16</f>
        <v>9445.84</v>
      </c>
      <c r="R258" s="67">
        <f>'[41]Flujo Vencimientos'!P$16</f>
        <v>84560.56</v>
      </c>
      <c r="S258" s="67">
        <f>'[41]Flujo Vencimientos'!Q$16</f>
        <v>9336.43</v>
      </c>
      <c r="T258" s="67">
        <f>'[41]Flujo Vencimientos'!R$16</f>
        <v>84866.99</v>
      </c>
      <c r="U258" s="67">
        <f>'[41]Flujo Vencimientos'!S$16</f>
        <v>8928.45</v>
      </c>
      <c r="V258" s="67">
        <f>'[41]Flujo Vencimientos'!T$16</f>
        <v>85174.4</v>
      </c>
      <c r="W258" s="67">
        <f>'[41]Flujo Vencimientos'!U$16</f>
        <v>9114.85</v>
      </c>
      <c r="X258" s="67">
        <f>'[41]Flujo Vencimientos'!V$16</f>
        <v>85483.05</v>
      </c>
      <c r="Y258" s="67">
        <f>'[41]Flujo Vencimientos'!W$16</f>
        <v>8712.210000000001</v>
      </c>
      <c r="Z258" s="67">
        <f>'[41]Flujo Vencimientos'!X$16</f>
        <v>85792.69</v>
      </c>
      <c r="AA258" s="67">
        <f>'[41]Flujo Vencimientos'!Y$16</f>
        <v>8889.57</v>
      </c>
      <c r="AB258" s="73">
        <f t="shared" si="80"/>
        <v>1009316.1200000001</v>
      </c>
      <c r="AC258" s="74">
        <f t="shared" si="81"/>
        <v>112082.19</v>
      </c>
    </row>
    <row r="259" spans="1:29" ht="12.75">
      <c r="A259" s="34" t="s">
        <v>16</v>
      </c>
      <c r="B259" s="67">
        <f>'[39]Flujo Vencimiento'!B$16</f>
        <v>176675.48</v>
      </c>
      <c r="C259" s="68">
        <f>'[39]Flujo Vencimiento'!C$16</f>
        <v>21607.62</v>
      </c>
      <c r="D259" s="67">
        <f>'[39]Flujo Vencimiento'!D$16</f>
        <v>177315.51</v>
      </c>
      <c r="E259" s="68">
        <f>'[39]Flujo Vencimiento'!E$16</f>
        <v>20005.1</v>
      </c>
      <c r="F259" s="67">
        <f>'[39]Flujo Vencimiento'!F$16</f>
        <v>177957.99</v>
      </c>
      <c r="G259" s="68">
        <f>'[39]Flujo Vencimiento'!G$16</f>
        <v>21159.96</v>
      </c>
      <c r="H259" s="67">
        <f>'[39]Flujo Vencimiento'!H$16</f>
        <v>178602.66999999998</v>
      </c>
      <c r="I259" s="68">
        <f>'[39]Flujo Vencimiento'!I$16</f>
        <v>20257.98</v>
      </c>
      <c r="J259" s="67">
        <f>'[39]Flujo Vencimiento'!J$16</f>
        <v>179249.81</v>
      </c>
      <c r="K259" s="68">
        <f>'[39]Flujo Vencimiento'!K$16</f>
        <v>20704.6</v>
      </c>
      <c r="L259" s="67">
        <f>'[39]Flujo Vencimiento'!L$16</f>
        <v>179899.16999999998</v>
      </c>
      <c r="M259" s="68">
        <f>'[39]Flujo Vencimiento'!M$16</f>
        <v>19813.58</v>
      </c>
      <c r="N259" s="73">
        <f t="shared" si="77"/>
        <v>1069700.63</v>
      </c>
      <c r="O259" s="74">
        <f t="shared" si="78"/>
        <v>123548.84000000001</v>
      </c>
      <c r="P259" s="67">
        <f>'[39]Flujo Vencimiento'!N$16</f>
        <v>180551</v>
      </c>
      <c r="Q259" s="68">
        <f>'[39]Flujo Vencimiento'!O$16</f>
        <v>20241.52</v>
      </c>
      <c r="R259" s="67">
        <f>'[39]Flujo Vencimiento'!P$16</f>
        <v>181205.08</v>
      </c>
      <c r="S259" s="68">
        <f>'[39]Flujo Vencimiento'!Q$16</f>
        <v>20007.05</v>
      </c>
      <c r="T259" s="67">
        <f>'[39]Flujo Vencimiento'!R$16</f>
        <v>181861.64</v>
      </c>
      <c r="U259" s="68">
        <f>'[39]Flujo Vencimiento'!S$16</f>
        <v>19132.86</v>
      </c>
      <c r="V259" s="67">
        <f>'[39]Flujo Vencimiento'!T$16</f>
        <v>182520.47</v>
      </c>
      <c r="W259" s="68">
        <f>'[39]Flujo Vencimiento'!U$16</f>
        <v>19532.21</v>
      </c>
      <c r="X259" s="67">
        <f>'[39]Flujo Vencimiento'!V$16</f>
        <v>183181.80000000002</v>
      </c>
      <c r="Y259" s="68">
        <f>'[39]Flujo Vencimiento'!W$16</f>
        <v>18669.5</v>
      </c>
      <c r="Z259" s="67">
        <f>'[39]Flujo Vencimiento'!X$16</f>
        <v>183845.41</v>
      </c>
      <c r="AA259" s="68">
        <f>'[39]Flujo Vencimiento'!Y$16</f>
        <v>19049.43</v>
      </c>
      <c r="AB259" s="73">
        <f t="shared" si="80"/>
        <v>2162866.0300000003</v>
      </c>
      <c r="AC259" s="74">
        <f t="shared" si="81"/>
        <v>240181.41</v>
      </c>
    </row>
    <row r="260" spans="1:29" ht="12.75">
      <c r="A260" s="34" t="s">
        <v>15</v>
      </c>
      <c r="B260" s="67">
        <f>'[36]Flujo de Vencimientos'!B$16</f>
        <v>17264.27</v>
      </c>
      <c r="C260" s="68">
        <f>'[36]Flujo de Vencimientos'!C$16</f>
        <v>2111.46</v>
      </c>
      <c r="D260" s="67">
        <f>'[36]Flujo de Vencimientos'!D$16</f>
        <v>17326.88</v>
      </c>
      <c r="E260" s="68">
        <f>'[36]Flujo de Vencimientos'!E$16</f>
        <v>1954.8400000000001</v>
      </c>
      <c r="F260" s="67">
        <f>'[36]Flujo de Vencimientos'!F$16</f>
        <v>17389.59</v>
      </c>
      <c r="G260" s="68">
        <f>'[36]Flujo de Vencimientos'!G$16</f>
        <v>2067.67</v>
      </c>
      <c r="H260" s="67">
        <f>'[36]Flujo de Vencimientos'!H$16</f>
        <v>17452.66</v>
      </c>
      <c r="I260" s="68">
        <f>'[36]Flujo de Vencimientos'!I$16</f>
        <v>1979.5500000000002</v>
      </c>
      <c r="J260" s="67">
        <f>'[36]Flujo de Vencimientos'!J$16</f>
        <v>17515.83</v>
      </c>
      <c r="K260" s="68">
        <f>'[36]Flujo de Vencimientos'!K$16</f>
        <v>2023.1999999999996</v>
      </c>
      <c r="L260" s="67">
        <f>'[36]Flujo de Vencimientos'!L$16</f>
        <v>17579.35</v>
      </c>
      <c r="M260" s="68">
        <f>'[36]Flujo de Vencimientos'!M$16</f>
        <v>1936.1200000000001</v>
      </c>
      <c r="N260" s="73">
        <f t="shared" si="77"/>
        <v>104528.58000000002</v>
      </c>
      <c r="O260" s="74">
        <f t="shared" si="78"/>
        <v>12072.84</v>
      </c>
      <c r="P260" s="67">
        <f>'[36]Flujo de Vencimientos'!N$16</f>
        <v>17642.98</v>
      </c>
      <c r="Q260" s="68">
        <f>'[36]Flujo de Vencimientos'!O$16</f>
        <v>1977.9699999999998</v>
      </c>
      <c r="R260" s="67">
        <f>'[36]Flujo de Vencimientos'!P$16</f>
        <v>17706.96</v>
      </c>
      <c r="S260" s="68">
        <f>'[36]Flujo de Vencimientos'!Q$16</f>
        <v>1955.04</v>
      </c>
      <c r="T260" s="67">
        <f>'[36]Flujo de Vencimientos'!R$16</f>
        <v>17771.05</v>
      </c>
      <c r="U260" s="68">
        <f>'[36]Flujo de Vencimientos'!S$16</f>
        <v>1869.59</v>
      </c>
      <c r="V260" s="67">
        <f>'[36]Flujo de Vencimientos'!T$16</f>
        <v>17835.5</v>
      </c>
      <c r="W260" s="68">
        <f>'[36]Flujo de Vencimientos'!U$16</f>
        <v>1908.67</v>
      </c>
      <c r="X260" s="67">
        <f>'[36]Flujo de Vencimientos'!V$16</f>
        <v>17900.05</v>
      </c>
      <c r="Y260" s="68">
        <f>'[36]Flujo de Vencimientos'!W$16</f>
        <v>1824.31</v>
      </c>
      <c r="Z260" s="67">
        <f>'[36]Flujo de Vencimientos'!X$16</f>
        <v>17964.97</v>
      </c>
      <c r="AA260" s="68">
        <f>'[36]Flujo de Vencimientos'!Y$16</f>
        <v>1861.46</v>
      </c>
      <c r="AB260" s="73">
        <f t="shared" si="80"/>
        <v>211350.09</v>
      </c>
      <c r="AC260" s="74">
        <f t="shared" si="81"/>
        <v>23469.88</v>
      </c>
    </row>
    <row r="261" spans="1:29" ht="12.75">
      <c r="A261" s="34" t="s">
        <v>14</v>
      </c>
      <c r="B261" s="67">
        <f>'[34]Flujo de Vencimiento'!B$16</f>
        <v>11206.56</v>
      </c>
      <c r="C261" s="68">
        <f>'[34]Flujo de Vencimiento'!C$16</f>
        <v>1370.6000000000001</v>
      </c>
      <c r="D261" s="67">
        <f>'[34]Flujo de Vencimiento'!D$16</f>
        <v>11247.099999999999</v>
      </c>
      <c r="E261" s="68">
        <f>'[34]Flujo de Vencimiento'!E$16</f>
        <v>1268.93</v>
      </c>
      <c r="F261" s="67">
        <f>'[34]Flujo de Vencimiento'!F$16</f>
        <v>11287.91</v>
      </c>
      <c r="G261" s="68">
        <f>'[34]Flujo de Vencimiento'!G$16</f>
        <v>1342.1499999999999</v>
      </c>
      <c r="H261" s="67">
        <f>'[34]Flujo de Vencimiento'!H$16</f>
        <v>11328.74</v>
      </c>
      <c r="I261" s="68">
        <f>'[34]Flujo de Vencimiento'!I$16</f>
        <v>1284.9499999999998</v>
      </c>
      <c r="J261" s="67">
        <f>'[34]Flujo de Vencimiento'!J$16</f>
        <v>11369.85</v>
      </c>
      <c r="K261" s="68">
        <f>'[34]Flujo de Vencimiento'!K$16</f>
        <v>1313.27</v>
      </c>
      <c r="L261" s="67">
        <f>'[34]Flujo de Vencimiento'!L$16</f>
        <v>11410.98</v>
      </c>
      <c r="M261" s="68">
        <f>'[34]Flujo de Vencimiento'!M$16</f>
        <v>1256.8</v>
      </c>
      <c r="N261" s="73">
        <f t="shared" si="77"/>
        <v>67851.13999999998</v>
      </c>
      <c r="O261" s="74">
        <f t="shared" si="78"/>
        <v>7836.7</v>
      </c>
      <c r="P261" s="67">
        <f>'[34]Flujo de Vencimiento'!N$16</f>
        <v>11452.38</v>
      </c>
      <c r="Q261" s="68">
        <f>'[34]Flujo de Vencimiento'!O$16</f>
        <v>1283.91</v>
      </c>
      <c r="R261" s="67">
        <f>'[34]Flujo de Vencimiento'!P$16</f>
        <v>11493.82</v>
      </c>
      <c r="S261" s="68">
        <f>'[34]Flujo de Vencimiento'!Q$16</f>
        <v>1269.07</v>
      </c>
      <c r="T261" s="67">
        <f>'[34]Flujo de Vencimiento'!R$16</f>
        <v>11535.52</v>
      </c>
      <c r="U261" s="68">
        <f>'[34]Flujo de Vencimiento'!S$16</f>
        <v>1213.57</v>
      </c>
      <c r="V261" s="67">
        <f>'[34]Flujo de Vencimiento'!T$16</f>
        <v>11577.25</v>
      </c>
      <c r="W261" s="68">
        <f>'[34]Flujo de Vencimiento'!U$16</f>
        <v>1238.9</v>
      </c>
      <c r="X261" s="67">
        <f>'[34]Flujo de Vencimiento'!V$16</f>
        <v>11619.26</v>
      </c>
      <c r="Y261" s="68">
        <f>'[34]Flujo de Vencimiento'!W$16</f>
        <v>1184.23</v>
      </c>
      <c r="Z261" s="67">
        <f>'[34]Flujo de Vencimiento'!X$16</f>
        <v>11661.289999999999</v>
      </c>
      <c r="AA261" s="68">
        <f>'[34]Flujo de Vencimiento'!Y$16</f>
        <v>1208.29</v>
      </c>
      <c r="AB261" s="73">
        <f t="shared" si="80"/>
        <v>137190.66</v>
      </c>
      <c r="AC261" s="74">
        <f t="shared" si="81"/>
        <v>15234.669999999998</v>
      </c>
    </row>
    <row r="262" spans="1:29" ht="12.75">
      <c r="A262" s="34" t="s">
        <v>13</v>
      </c>
      <c r="B262" s="67">
        <f>'[32]Flujo de Vencimientos'!B$16</f>
        <v>41571.35</v>
      </c>
      <c r="C262" s="68">
        <f>'[32]Flujo de Vencimientos'!C$16</f>
        <v>5084.21</v>
      </c>
      <c r="D262" s="67">
        <f>'[32]Flujo de Vencimientos'!D$16</f>
        <v>41722.030000000006</v>
      </c>
      <c r="E262" s="68">
        <f>'[32]Flujo de Vencimientos'!E$16</f>
        <v>4707.17</v>
      </c>
      <c r="F262" s="67">
        <f>'[32]Flujo de Vencimientos'!F$16</f>
        <v>41873.13</v>
      </c>
      <c r="G262" s="68">
        <f>'[32]Flujo de Vencimientos'!G$16</f>
        <v>4978.91</v>
      </c>
      <c r="H262" s="67">
        <f>'[32]Flujo de Vencimientos'!H$16</f>
        <v>42024.89</v>
      </c>
      <c r="I262" s="68">
        <f>'[32]Flujo de Vencimientos'!I$16</f>
        <v>4766.63</v>
      </c>
      <c r="J262" s="67">
        <f>'[32]Flujo de Vencimientos'!J$16</f>
        <v>42177.090000000004</v>
      </c>
      <c r="K262" s="68">
        <f>'[32]Flujo de Vencimientos'!K$16</f>
        <v>4871.75</v>
      </c>
      <c r="L262" s="67">
        <f>'[32]Flujo de Vencimientos'!L$16</f>
        <v>42329.96</v>
      </c>
      <c r="M262" s="68">
        <f>'[32]Flujo de Vencimientos'!M$16</f>
        <v>4662.0599999999995</v>
      </c>
      <c r="N262" s="73">
        <f t="shared" si="77"/>
        <v>251698.45</v>
      </c>
      <c r="O262" s="74">
        <f t="shared" si="78"/>
        <v>29070.730000000003</v>
      </c>
      <c r="P262" s="67">
        <f>'[32]Flujo de Vencimientos'!N$16</f>
        <v>42483.26</v>
      </c>
      <c r="Q262" s="68">
        <f>'[32]Flujo de Vencimientos'!O$16</f>
        <v>4762.77</v>
      </c>
      <c r="R262" s="67">
        <f>'[32]Flujo de Vencimientos'!P$16</f>
        <v>42637.240000000005</v>
      </c>
      <c r="S262" s="68">
        <f>'[32]Flujo de Vencimientos'!Q$16</f>
        <v>4707.62</v>
      </c>
      <c r="T262" s="67">
        <f>'[32]Flujo de Vencimientos'!R$16</f>
        <v>42791.65</v>
      </c>
      <c r="U262" s="68">
        <f>'[32]Flujo de Vencimientos'!S$16</f>
        <v>4501.92</v>
      </c>
      <c r="V262" s="67">
        <f>'[32]Flujo de Vencimientos'!T$16</f>
        <v>42946.740000000005</v>
      </c>
      <c r="W262" s="68">
        <f>'[32]Flujo de Vencimientos'!U$16</f>
        <v>4595.88</v>
      </c>
      <c r="X262" s="67">
        <f>'[32]Flujo de Vencimientos'!V$16</f>
        <v>43102.28</v>
      </c>
      <c r="Y262" s="68">
        <f>'[32]Flujo de Vencimientos'!W$16</f>
        <v>4392.89</v>
      </c>
      <c r="Z262" s="67">
        <f>'[32]Flujo de Vencimientos'!X$16</f>
        <v>43258.5</v>
      </c>
      <c r="AA262" s="68">
        <f>'[32]Flujo de Vencimientos'!Y$16</f>
        <v>4482.26</v>
      </c>
      <c r="AB262" s="73">
        <f t="shared" si="80"/>
        <v>508918.12</v>
      </c>
      <c r="AC262" s="74">
        <f t="shared" si="81"/>
        <v>56514.07</v>
      </c>
    </row>
    <row r="263" spans="1:29" ht="12.75">
      <c r="A263" s="34" t="s">
        <v>84</v>
      </c>
      <c r="B263" s="67">
        <f>'[18]Flujo Vencimientos'!B$16</f>
        <v>38781.27</v>
      </c>
      <c r="C263" s="68">
        <f>'[18]Flujo Vencimientos'!C$16</f>
        <v>4742.969999999999</v>
      </c>
      <c r="D263" s="67">
        <f>'[18]Flujo Vencimientos'!D$16</f>
        <v>38921.78</v>
      </c>
      <c r="E263" s="68">
        <f>'[18]Flujo Vencimientos'!E$16</f>
        <v>4391.25</v>
      </c>
      <c r="F263" s="67">
        <f>'[18]Flujo Vencimientos'!F$16</f>
        <v>39062.79</v>
      </c>
      <c r="G263" s="68">
        <f>'[18]Flujo Vencimientos'!G$16</f>
        <v>4644.7</v>
      </c>
      <c r="H263" s="67">
        <f>'[18]Flujo Vencimientos'!H$16</f>
        <v>39204.32</v>
      </c>
      <c r="I263" s="68">
        <f>'[18]Flujo Vencimientos'!I$16</f>
        <v>4446.71</v>
      </c>
      <c r="J263" s="67">
        <f>'[18]Flujo Vencimientos'!J$16</f>
        <v>39346.35</v>
      </c>
      <c r="K263" s="68">
        <f>'[18]Flujo Vencimientos'!K$16</f>
        <v>4544.76</v>
      </c>
      <c r="L263" s="67">
        <f>'[18]Flujo Vencimientos'!L$16</f>
        <v>39488.909999999996</v>
      </c>
      <c r="M263" s="68">
        <f>'[18]Flujo Vencimientos'!M$16</f>
        <v>4349.19</v>
      </c>
      <c r="N263" s="83">
        <f t="shared" si="77"/>
        <v>234805.42</v>
      </c>
      <c r="O263" s="74">
        <f t="shared" si="78"/>
        <v>27119.579999999998</v>
      </c>
      <c r="P263" s="67">
        <f>'[18]Flujo Vencimientos'!N$16</f>
        <v>39631.97</v>
      </c>
      <c r="Q263" s="68">
        <f>'[18]Flujo Vencimientos'!O$16</f>
        <v>4443.110000000001</v>
      </c>
      <c r="R263" s="67">
        <f>'[18]Flujo Vencimientos'!P$16</f>
        <v>39775.56</v>
      </c>
      <c r="S263" s="68">
        <f>'[18]Flujo Vencimientos'!Q$16</f>
        <v>4391.68</v>
      </c>
      <c r="T263" s="67">
        <f>'[18]Flujo Vencimientos'!R$16</f>
        <v>39919.67</v>
      </c>
      <c r="U263" s="68">
        <f>'[18]Flujo Vencimientos'!S$16</f>
        <v>4199.75</v>
      </c>
      <c r="V263" s="67">
        <f>'[18]Flujo Vencimientos'!T$16</f>
        <v>40064.299999999996</v>
      </c>
      <c r="W263" s="68">
        <f>'[18]Flujo Vencimientos'!U$16</f>
        <v>4287.46</v>
      </c>
      <c r="X263" s="67">
        <f>'[18]Flujo Vencimientos'!V$16</f>
        <v>40209.45</v>
      </c>
      <c r="Y263" s="68">
        <f>'[18]Flujo Vencimientos'!W$16</f>
        <v>4098.06</v>
      </c>
      <c r="Z263" s="67">
        <f>'[18]Flujo Vencimientos'!X$16</f>
        <v>40355.13</v>
      </c>
      <c r="AA263" s="68">
        <f>'[18]Flujo Vencimientos'!Y$16</f>
        <v>4181.43</v>
      </c>
      <c r="AB263" s="73">
        <f t="shared" si="80"/>
        <v>474761.5</v>
      </c>
      <c r="AC263" s="74">
        <f t="shared" si="81"/>
        <v>52721.06999999999</v>
      </c>
    </row>
    <row r="264" spans="1:29" ht="12.75">
      <c r="A264" s="34" t="s">
        <v>105</v>
      </c>
      <c r="B264" s="67">
        <f>'[11]Flujo Vencimientos'!B$16</f>
        <v>62021.84</v>
      </c>
      <c r="C264" s="68">
        <f>'[11]Flujo Vencimientos'!C$16</f>
        <v>7585.37</v>
      </c>
      <c r="D264" s="67">
        <f>'[11]Flujo Vencimientos'!D$16</f>
        <v>62246.54</v>
      </c>
      <c r="E264" s="68">
        <f>'[11]Flujo Vencimientos'!E$16</f>
        <v>7022.77</v>
      </c>
      <c r="F264" s="67">
        <f>'[11]Flujo Vencimientos'!F$16</f>
        <v>62472.06</v>
      </c>
      <c r="G264" s="68">
        <f>'[11]Flujo Vencimientos'!G$16</f>
        <v>7428.21</v>
      </c>
      <c r="H264" s="67">
        <f>'[11]Flujo Vencimientos'!H$16</f>
        <v>62698.4</v>
      </c>
      <c r="I264" s="68">
        <f>'[11]Flujo Vencimientos'!I$16</f>
        <v>7111.5599999999995</v>
      </c>
      <c r="J264" s="67">
        <f>'[11]Flujo Vencimientos'!J$16</f>
        <v>62925.56</v>
      </c>
      <c r="K264" s="68">
        <f>'[11]Flujo Vencimientos'!K$16</f>
        <v>7268.3</v>
      </c>
      <c r="L264" s="67">
        <f>'[11]Flujo Vencimientos'!L$16</f>
        <v>63153.53</v>
      </c>
      <c r="M264" s="68">
        <f>'[11]Flujo Vencimientos'!M$16</f>
        <v>6955.5599999999995</v>
      </c>
      <c r="N264" s="73">
        <f t="shared" si="77"/>
        <v>375517.93000000005</v>
      </c>
      <c r="O264" s="84">
        <f t="shared" si="78"/>
        <v>43371.77</v>
      </c>
      <c r="P264" s="67">
        <f>'[11]Flujo Vencimientos'!N$16</f>
        <v>63382.34</v>
      </c>
      <c r="Q264" s="68">
        <f>'[11]Flujo Vencimientos'!O$16</f>
        <v>7105.75</v>
      </c>
      <c r="R264" s="67">
        <f>'[11]Flujo Vencimientos'!P$16</f>
        <v>63611.97</v>
      </c>
      <c r="S264" s="68">
        <f>'[11]Flujo Vencimientos'!Q$16</f>
        <v>7023.4400000000005</v>
      </c>
      <c r="T264" s="67">
        <f>'[11]Flujo Vencimientos'!R$16</f>
        <v>63842.439999999995</v>
      </c>
      <c r="U264" s="68">
        <f>'[11]Flujo Vencimientos'!S$16</f>
        <v>6716.58</v>
      </c>
      <c r="V264" s="67">
        <f>'[11]Flujo Vencimientos'!T$16</f>
        <v>64073.74</v>
      </c>
      <c r="W264" s="68">
        <f>'[11]Flujo Vencimientos'!U$16</f>
        <v>6856.76</v>
      </c>
      <c r="X264" s="67">
        <f>'[11]Flujo Vencimientos'!V$16</f>
        <v>64305.880000000005</v>
      </c>
      <c r="Y264" s="68">
        <f>'[11]Flujo Vencimientos'!W$16</f>
        <v>6553.92</v>
      </c>
      <c r="Z264" s="67">
        <f>'[11]Flujo Vencimientos'!X$16</f>
        <v>64538.86</v>
      </c>
      <c r="AA264" s="68">
        <f>'[11]Flujo Vencimientos'!Y$16</f>
        <v>6687.290000000001</v>
      </c>
      <c r="AB264" s="73">
        <f t="shared" si="80"/>
        <v>759273.1599999999</v>
      </c>
      <c r="AC264" s="74">
        <f t="shared" si="81"/>
        <v>84315.51000000001</v>
      </c>
    </row>
    <row r="265" spans="1:29" ht="12.75">
      <c r="A265" s="34" t="s">
        <v>4</v>
      </c>
      <c r="B265" s="67">
        <f>'[9]Flujo de Vencimientos'!B$16</f>
        <v>46503.98</v>
      </c>
      <c r="C265" s="68">
        <f>'[9]Flujo de Vencimientos'!C$16</f>
        <v>5687.49</v>
      </c>
      <c r="D265" s="67">
        <f>'[9]Flujo de Vencimientos'!D$16</f>
        <v>46672.52</v>
      </c>
      <c r="E265" s="68">
        <f>'[9]Flujo de Vencimientos'!E$16</f>
        <v>5265.6900000000005</v>
      </c>
      <c r="F265" s="67">
        <f>'[9]Flujo de Vencimientos'!F$16</f>
        <v>46841.560000000005</v>
      </c>
      <c r="G265" s="68">
        <f>'[9]Flujo de Vencimientos'!G$16</f>
        <v>5569.67</v>
      </c>
      <c r="H265" s="67">
        <f>'[9]Flujo de Vencimientos'!H$16</f>
        <v>47011.32</v>
      </c>
      <c r="I265" s="68">
        <f>'[9]Flujo de Vencimientos'!I$16</f>
        <v>5332.240000000001</v>
      </c>
      <c r="J265" s="67">
        <f>'[9]Flujo de Vencimientos'!J$16</f>
        <v>47181.58</v>
      </c>
      <c r="K265" s="68">
        <f>'[9]Flujo de Vencimientos'!K$16</f>
        <v>5449.78</v>
      </c>
      <c r="L265" s="67">
        <f>'[9]Flujo de Vencimientos'!L$16</f>
        <v>47352.579999999994</v>
      </c>
      <c r="M265" s="68">
        <f>'[9]Flujo de Vencimientos'!M$16</f>
        <v>5215.25</v>
      </c>
      <c r="N265" s="73">
        <f t="shared" si="77"/>
        <v>281563.54000000004</v>
      </c>
      <c r="O265" s="84">
        <f t="shared" si="78"/>
        <v>32520.12</v>
      </c>
      <c r="P265" s="67">
        <f>'[9]Flujo de Vencimientos'!N$16</f>
        <v>47524.08</v>
      </c>
      <c r="Q265" s="68">
        <f>'[9]Flujo de Vencimientos'!O$16</f>
        <v>5327.91</v>
      </c>
      <c r="R265" s="67">
        <f>'[9]Flujo de Vencimientos'!P$16</f>
        <v>47696.32</v>
      </c>
      <c r="S265" s="68">
        <f>'[9]Flujo de Vencimientos'!Q$16</f>
        <v>5266.18</v>
      </c>
      <c r="T265" s="67">
        <f>'[9]Flujo de Vencimientos'!R$16</f>
        <v>47869.060000000005</v>
      </c>
      <c r="U265" s="68">
        <f>'[9]Flujo de Vencimientos'!S$16</f>
        <v>5036.07</v>
      </c>
      <c r="V265" s="67">
        <f>'[9]Flujo de Vencimientos'!T$16</f>
        <v>48042.56</v>
      </c>
      <c r="W265" s="68">
        <f>'[9]Flujo de Vencimientos'!U$16</f>
        <v>5141.22</v>
      </c>
      <c r="X265" s="67">
        <f>'[9]Flujo de Vencimientos'!V$16</f>
        <v>48216.55</v>
      </c>
      <c r="Y265" s="68">
        <f>'[9]Flujo de Vencimientos'!W$16</f>
        <v>4914.15</v>
      </c>
      <c r="Z265" s="67">
        <f>'[9]Flujo de Vencimientos'!X$16</f>
        <v>48391.299999999996</v>
      </c>
      <c r="AA265" s="68">
        <f>'[9]Flujo de Vencimientos'!Y$16</f>
        <v>5014.11</v>
      </c>
      <c r="AB265" s="73">
        <f t="shared" si="80"/>
        <v>569303.41</v>
      </c>
      <c r="AC265" s="74">
        <f t="shared" si="81"/>
        <v>63219.76</v>
      </c>
    </row>
    <row r="266" spans="1:29" ht="12.75">
      <c r="A266" s="34" t="s">
        <v>10</v>
      </c>
      <c r="B266" s="67">
        <f>'[7]Flujo vencimientos'!B$16</f>
        <v>14166.39</v>
      </c>
      <c r="C266" s="68">
        <f>'[7]Flujo vencimientos'!C$16</f>
        <v>1732.58</v>
      </c>
      <c r="D266" s="67">
        <f>'[7]Flujo vencimientos'!D$16</f>
        <v>14217.650000000001</v>
      </c>
      <c r="E266" s="68">
        <f>'[7]Flujo vencimientos'!E$16</f>
        <v>1604.04</v>
      </c>
      <c r="F266" s="67">
        <f>'[7]Flujo vencimientos'!F$16</f>
        <v>14269.22</v>
      </c>
      <c r="G266" s="68">
        <f>'[7]Flujo vencimientos'!G$16</f>
        <v>1696.6399999999999</v>
      </c>
      <c r="H266" s="67">
        <f>'[7]Flujo vencimientos'!H$16</f>
        <v>14320.86</v>
      </c>
      <c r="I266" s="68">
        <f>'[7]Flujo vencimientos'!I$16</f>
        <v>1624.31</v>
      </c>
      <c r="J266" s="67">
        <f>'[7]Flujo vencimientos'!J$16</f>
        <v>14372.8</v>
      </c>
      <c r="K266" s="68">
        <f>'[7]Flujo vencimientos'!K$16</f>
        <v>1660.15</v>
      </c>
      <c r="L266" s="67">
        <f>'[7]Flujo vencimientos'!L$16</f>
        <v>14424.810000000001</v>
      </c>
      <c r="M266" s="68">
        <f>'[7]Flujo vencimientos'!M$16</f>
        <v>1588.72</v>
      </c>
      <c r="N266" s="73">
        <f t="shared" si="77"/>
        <v>85771.73</v>
      </c>
      <c r="O266" s="84">
        <f t="shared" si="78"/>
        <v>9906.439999999999</v>
      </c>
      <c r="P266" s="67">
        <f>'[7]Flujo vencimientos'!N$16</f>
        <v>14477.14</v>
      </c>
      <c r="Q266" s="68">
        <f>'[7]Flujo vencimientos'!O$16</f>
        <v>1623.0500000000002</v>
      </c>
      <c r="R266" s="67">
        <f>'[7]Flujo vencimientos'!P$16</f>
        <v>14529.529999999999</v>
      </c>
      <c r="S266" s="68">
        <f>'[7]Flujo vencimientos'!Q$16</f>
        <v>1604.1999999999998</v>
      </c>
      <c r="T266" s="67">
        <f>'[7]Flujo vencimientos'!R$16</f>
        <v>14582.23</v>
      </c>
      <c r="U266" s="68">
        <f>'[7]Flujo vencimientos'!S$16</f>
        <v>1534.12</v>
      </c>
      <c r="V266" s="67">
        <f>'[7]Flujo vencimientos'!T$16</f>
        <v>14635</v>
      </c>
      <c r="W266" s="68">
        <f>'[7]Flujo vencimientos'!U$16</f>
        <v>1566.15</v>
      </c>
      <c r="X266" s="67">
        <f>'[7]Flujo vencimientos'!V$16</f>
        <v>14688.08</v>
      </c>
      <c r="Y266" s="68">
        <f>'[7]Flujo vencimientos'!W$16</f>
        <v>1496.94</v>
      </c>
      <c r="Z266" s="67">
        <f>'[7]Flujo vencimientos'!X$16</f>
        <v>14741.240000000002</v>
      </c>
      <c r="AA266" s="68">
        <f>'[7]Flujo vencimientos'!Y$16</f>
        <v>1527.46</v>
      </c>
      <c r="AB266" s="73">
        <f t="shared" si="80"/>
        <v>173424.94999999998</v>
      </c>
      <c r="AC266" s="74">
        <f t="shared" si="81"/>
        <v>19258.359999999997</v>
      </c>
    </row>
    <row r="267" spans="1:29" ht="13.5" thickBot="1">
      <c r="A267" s="34" t="s">
        <v>11</v>
      </c>
      <c r="B267" s="67">
        <f>'[3]Flujo Vencimientos'!B$16</f>
        <v>172880.15</v>
      </c>
      <c r="C267" s="68">
        <f>'[3]Flujo Vencimientos'!C$16</f>
        <v>21143.48</v>
      </c>
      <c r="D267" s="67">
        <f>'[3]Flujo Vencimientos'!D$16</f>
        <v>173506.43</v>
      </c>
      <c r="E267" s="68">
        <f>'[3]Flujo Vencimientos'!E$16</f>
        <v>19575.309999999998</v>
      </c>
      <c r="F267" s="67">
        <f>'[3]Flujo Vencimientos'!F$16</f>
        <v>174135.11000000002</v>
      </c>
      <c r="G267" s="68">
        <f>'[3]Flujo Vencimientos'!G$16</f>
        <v>20705.350000000002</v>
      </c>
      <c r="H267" s="67">
        <f>'[3]Flujo Vencimientos'!H$16</f>
        <v>174765.94</v>
      </c>
      <c r="I267" s="68">
        <f>'[3]Flujo Vencimientos'!I$16</f>
        <v>19822.75</v>
      </c>
      <c r="J267" s="67">
        <f>'[3]Flujo Vencimientos'!J$16</f>
        <v>175399.17</v>
      </c>
      <c r="K267" s="68">
        <f>'[3]Flujo Vencimientos'!K$16</f>
        <v>20259.809999999998</v>
      </c>
      <c r="L267" s="67">
        <f>'[3]Flujo Vencimientos'!L$16</f>
        <v>176034.58</v>
      </c>
      <c r="M267" s="68">
        <f>'[3]Flujo Vencimientos'!M$16</f>
        <v>19387.93</v>
      </c>
      <c r="N267" s="73">
        <f t="shared" si="77"/>
        <v>1046721.3799999999</v>
      </c>
      <c r="O267" s="84">
        <f t="shared" si="78"/>
        <v>120894.63</v>
      </c>
      <c r="P267" s="67">
        <f>'[3]Flujo Vencimientos'!N$16</f>
        <v>176672.42</v>
      </c>
      <c r="Q267" s="68">
        <f>'[3]Flujo Vencimientos'!O$16</f>
        <v>19806.649999999998</v>
      </c>
      <c r="R267" s="67">
        <f>'[3]Flujo Vencimientos'!P$16</f>
        <v>177312.44</v>
      </c>
      <c r="S267" s="68">
        <f>'[3]Flujo Vencimientos'!Q$16</f>
        <v>19577.27</v>
      </c>
      <c r="T267" s="67">
        <f>'[3]Flujo Vencimientos'!R$16</f>
        <v>177954.91</v>
      </c>
      <c r="U267" s="68">
        <f>'[3]Flujo Vencimientos'!S$16</f>
        <v>18721.81</v>
      </c>
      <c r="V267" s="67">
        <f>'[3]Flujo Vencimientos'!T$16</f>
        <v>178599.58</v>
      </c>
      <c r="W267" s="68">
        <f>'[3]Flujo Vencimientos'!U$16</f>
        <v>19112.6</v>
      </c>
      <c r="X267" s="67">
        <f>'[3]Flujo Vencimientos'!V$16</f>
        <v>179246.7</v>
      </c>
      <c r="Y267" s="68">
        <f>'[3]Flujo Vencimientos'!W$16</f>
        <v>18268.440000000002</v>
      </c>
      <c r="Z267" s="67">
        <f>'[3]Flujo Vencimientos'!X$16</f>
        <v>179896.05</v>
      </c>
      <c r="AA267" s="68">
        <f>'[3]Flujo Vencimientos'!Y$16</f>
        <v>18640.22</v>
      </c>
      <c r="AB267" s="73">
        <f t="shared" si="80"/>
        <v>2116403.4799999995</v>
      </c>
      <c r="AC267" s="74">
        <f t="shared" si="81"/>
        <v>235021.62</v>
      </c>
    </row>
    <row r="268" spans="1:29" s="42" customFormat="1" ht="12.75" thickBot="1">
      <c r="A268" s="43" t="s">
        <v>120</v>
      </c>
      <c r="B268" s="71">
        <f aca="true" t="shared" si="82" ref="B268:M268">B255</f>
        <v>802513.1100000001</v>
      </c>
      <c r="C268" s="72">
        <f t="shared" si="82"/>
        <v>98148.4</v>
      </c>
      <c r="D268" s="71">
        <f t="shared" si="82"/>
        <v>805420.4300000002</v>
      </c>
      <c r="E268" s="72">
        <f t="shared" si="82"/>
        <v>90869.15999999999</v>
      </c>
      <c r="F268" s="71">
        <f t="shared" si="82"/>
        <v>808338.66</v>
      </c>
      <c r="G268" s="72">
        <f t="shared" si="82"/>
        <v>96114.72</v>
      </c>
      <c r="H268" s="71">
        <f t="shared" si="82"/>
        <v>811267.0799999998</v>
      </c>
      <c r="I268" s="72">
        <f t="shared" si="82"/>
        <v>92017.65</v>
      </c>
      <c r="J268" s="71">
        <f t="shared" si="82"/>
        <v>814206.49</v>
      </c>
      <c r="K268" s="72">
        <f t="shared" si="82"/>
        <v>94046.35999999999</v>
      </c>
      <c r="L268" s="71">
        <f t="shared" si="82"/>
        <v>817156.1599999999</v>
      </c>
      <c r="M268" s="72">
        <f t="shared" si="82"/>
        <v>89999.15</v>
      </c>
      <c r="N268" s="597">
        <f t="shared" si="77"/>
        <v>4858901.930000001</v>
      </c>
      <c r="O268" s="598">
        <f t="shared" si="78"/>
        <v>561195.4400000001</v>
      </c>
      <c r="P268" s="71">
        <f>P255</f>
        <v>820116.91</v>
      </c>
      <c r="Q268" s="72">
        <f>Q255</f>
        <v>91942.98000000001</v>
      </c>
      <c r="R268" s="71">
        <f>R255</f>
        <v>823088.01</v>
      </c>
      <c r="S268" s="72">
        <f aca="true" t="shared" si="83" ref="S268:AA268">S255</f>
        <v>90878.05000000002</v>
      </c>
      <c r="T268" s="71">
        <f t="shared" si="83"/>
        <v>826070.2500000001</v>
      </c>
      <c r="U268" s="72">
        <f t="shared" si="83"/>
        <v>86907.04</v>
      </c>
      <c r="V268" s="71">
        <f t="shared" si="83"/>
        <v>829062.92</v>
      </c>
      <c r="W268" s="72">
        <f t="shared" si="83"/>
        <v>88721.20999999999</v>
      </c>
      <c r="X268" s="71">
        <f t="shared" si="83"/>
        <v>832066.79</v>
      </c>
      <c r="Y268" s="72">
        <f t="shared" si="83"/>
        <v>84802.36</v>
      </c>
      <c r="Z268" s="71">
        <f t="shared" si="83"/>
        <v>835081.19</v>
      </c>
      <c r="AA268" s="72">
        <f t="shared" si="83"/>
        <v>86528.16</v>
      </c>
      <c r="AB268" s="597">
        <f t="shared" si="80"/>
        <v>9824388</v>
      </c>
      <c r="AC268" s="598">
        <f t="shared" si="81"/>
        <v>1090975.24</v>
      </c>
    </row>
    <row r="269" spans="1:29" ht="13.5" thickBot="1">
      <c r="A269" s="42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1"/>
      <c r="AC269" s="42"/>
    </row>
    <row r="270" spans="1:29" s="42" customFormat="1" ht="12.75" thickBot="1">
      <c r="A270" s="12" t="s">
        <v>94</v>
      </c>
      <c r="B270" s="39"/>
      <c r="C270" s="39"/>
      <c r="D270" s="39"/>
      <c r="E270" s="39"/>
      <c r="F270" s="39"/>
      <c r="G270" s="39"/>
      <c r="H270" s="78" t="s">
        <v>132</v>
      </c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78" t="str">
        <f>H270</f>
        <v>EN PESOS</v>
      </c>
      <c r="W270" s="39"/>
      <c r="X270" s="39"/>
      <c r="Y270" s="39"/>
      <c r="Z270" s="39"/>
      <c r="AA270" s="39"/>
      <c r="AB270" s="39"/>
      <c r="AC270" s="38"/>
    </row>
    <row r="271" spans="1:29" ht="12.75">
      <c r="A271" s="33" t="s">
        <v>27</v>
      </c>
      <c r="B271" s="32">
        <f aca="true" t="shared" si="84" ref="B271:M271">SUM(B272:B274)</f>
        <v>644573.8099999999</v>
      </c>
      <c r="C271" s="31">
        <f t="shared" si="84"/>
        <v>27916.999999999996</v>
      </c>
      <c r="D271" s="32">
        <f t="shared" si="84"/>
        <v>649099.72</v>
      </c>
      <c r="E271" s="31">
        <f t="shared" si="84"/>
        <v>25269.59</v>
      </c>
      <c r="F271" s="32">
        <f t="shared" si="84"/>
        <v>653657.19</v>
      </c>
      <c r="G271" s="31">
        <f t="shared" si="84"/>
        <v>26087.13</v>
      </c>
      <c r="H271" s="32">
        <f t="shared" si="84"/>
        <v>658246.4299999999</v>
      </c>
      <c r="I271" s="31">
        <f t="shared" si="84"/>
        <v>24340.910000000003</v>
      </c>
      <c r="J271" s="32">
        <f t="shared" si="84"/>
        <v>662867.65</v>
      </c>
      <c r="K271" s="31">
        <f t="shared" si="84"/>
        <v>24200.11</v>
      </c>
      <c r="L271" s="32">
        <f t="shared" si="84"/>
        <v>667521.08</v>
      </c>
      <c r="M271" s="31">
        <f t="shared" si="84"/>
        <v>22486.55</v>
      </c>
      <c r="N271" s="32">
        <f aca="true" t="shared" si="85" ref="N271:N289">B271+D271+F271+H271+J271+L271</f>
        <v>3935965.8799999994</v>
      </c>
      <c r="O271" s="31">
        <f aca="true" t="shared" si="86" ref="O271:O289">C271+E271+G271+I271+K271+M271</f>
        <v>150301.29</v>
      </c>
      <c r="P271" s="32">
        <f aca="true" t="shared" si="87" ref="P271:AA271">SUM(P272:P274)</f>
        <v>672206.91</v>
      </c>
      <c r="Q271" s="31">
        <f t="shared" si="87"/>
        <v>22254.69</v>
      </c>
      <c r="R271" s="32">
        <f t="shared" si="87"/>
        <v>676925.35</v>
      </c>
      <c r="S271" s="31">
        <f t="shared" si="87"/>
        <v>21259.68</v>
      </c>
      <c r="T271" s="32">
        <f t="shared" si="87"/>
        <v>681676.6399999999</v>
      </c>
      <c r="U271" s="31">
        <f t="shared" si="87"/>
        <v>19597.460000000003</v>
      </c>
      <c r="V271" s="32">
        <f t="shared" si="87"/>
        <v>686460.98</v>
      </c>
      <c r="W271" s="31">
        <f t="shared" si="87"/>
        <v>19224.24</v>
      </c>
      <c r="X271" s="32">
        <f t="shared" si="87"/>
        <v>691278.56</v>
      </c>
      <c r="Y271" s="31">
        <f t="shared" si="87"/>
        <v>17597.92</v>
      </c>
      <c r="Z271" s="32">
        <f t="shared" si="87"/>
        <v>696129.62</v>
      </c>
      <c r="AA271" s="31">
        <f t="shared" si="87"/>
        <v>17127.19</v>
      </c>
      <c r="AB271" s="32">
        <f aca="true" t="shared" si="88" ref="AB271:AB289">+N271+P271+R271+T271+V271+X271+Z271</f>
        <v>8040643.939999999</v>
      </c>
      <c r="AC271" s="31">
        <f aca="true" t="shared" si="89" ref="AC271:AC289">O271+Q271+S271+U271+W271+Y271+AA271</f>
        <v>267362.47</v>
      </c>
    </row>
    <row r="272" spans="1:29" ht="12.75">
      <c r="A272" s="34" t="s">
        <v>22</v>
      </c>
      <c r="B272" s="81">
        <f>'[43]Flujo para el libro'!B$16</f>
        <v>395875.08999999997</v>
      </c>
      <c r="C272" s="82">
        <f>'[43]Flujo para el libro'!C$16</f>
        <v>16920.94</v>
      </c>
      <c r="D272" s="81">
        <f>'[43]Flujo para el libro'!D$16</f>
        <v>398666.00999999995</v>
      </c>
      <c r="E272" s="82">
        <f>'[43]Flujo para el libro'!E$16</f>
        <v>15307.36</v>
      </c>
      <c r="F272" s="81">
        <f>'[43]Flujo para el libro'!F$16</f>
        <v>401476.61</v>
      </c>
      <c r="G272" s="82">
        <f>'[43]Flujo para el libro'!G$16</f>
        <v>15796.44</v>
      </c>
      <c r="H272" s="81">
        <f>'[43]Flujo para el libro'!H$16</f>
        <v>404307.01999999996</v>
      </c>
      <c r="I272" s="82">
        <f>'[43]Flujo para el libro'!I$16</f>
        <v>14730.04</v>
      </c>
      <c r="J272" s="81">
        <f>'[43]Flujo para el libro'!J$16</f>
        <v>407157.38</v>
      </c>
      <c r="K272" s="82">
        <f>'[43]Flujo para el libro'!K$16</f>
        <v>14636.74</v>
      </c>
      <c r="L272" s="81">
        <f>'[43]Flujo para el libro'!L$16</f>
        <v>410027.83999999997</v>
      </c>
      <c r="M272" s="82">
        <f>'[43]Flujo para el libro'!M$16</f>
        <v>13590.43</v>
      </c>
      <c r="N272" s="51">
        <f t="shared" si="85"/>
        <v>2417509.9499999997</v>
      </c>
      <c r="O272" s="50">
        <f t="shared" si="86"/>
        <v>90981.95000000001</v>
      </c>
      <c r="P272" s="81">
        <f>'[43]Flujo para el libro'!N$16</f>
        <v>412918.52999999997</v>
      </c>
      <c r="Q272" s="82">
        <f>'[43]Flujo para el libro'!O$16</f>
        <v>13441.05</v>
      </c>
      <c r="R272" s="81">
        <f>'[43]Flujo para el libro'!P$16</f>
        <v>415829.6</v>
      </c>
      <c r="S272" s="82">
        <f>'[43]Flujo para el libro'!Q$16</f>
        <v>12829.47</v>
      </c>
      <c r="T272" s="81">
        <f>'[43]Flujo para el libro'!R$16</f>
        <v>418761.19999999995</v>
      </c>
      <c r="U272" s="82">
        <f>'[43]Flujo para el libro'!S$16</f>
        <v>11814.77</v>
      </c>
      <c r="V272" s="81">
        <f>'[43]Flujo para el libro'!T$16</f>
        <v>421713.47</v>
      </c>
      <c r="W272" s="82">
        <f>'[43]Flujo para el libro'!U$16</f>
        <v>11578.33</v>
      </c>
      <c r="X272" s="81">
        <f>'[43]Flujo para el libro'!V$16</f>
        <v>424686.54</v>
      </c>
      <c r="Y272" s="82">
        <f>'[43]Flujo para el libro'!W$16</f>
        <v>10585.72</v>
      </c>
      <c r="Z272" s="81">
        <f>'[43]Flujo para el libro'!X$16</f>
        <v>427680.57999999996</v>
      </c>
      <c r="AA272" s="82">
        <f>'[43]Flujo para el libro'!Y$16</f>
        <v>10289.22</v>
      </c>
      <c r="AB272" s="51">
        <f t="shared" si="88"/>
        <v>4939099.869999999</v>
      </c>
      <c r="AC272" s="50">
        <f t="shared" si="89"/>
        <v>161520.51</v>
      </c>
    </row>
    <row r="273" spans="1:29" ht="12.75">
      <c r="A273" s="34" t="s">
        <v>128</v>
      </c>
      <c r="B273" s="81">
        <f>'[30]Flujo para el libro'!B$16</f>
        <v>237899.15</v>
      </c>
      <c r="C273" s="82">
        <f>'[30]Flujo para el libro'!C$16</f>
        <v>10211.609999999999</v>
      </c>
      <c r="D273" s="81">
        <f>'[30]Flujo para el libro'!D$16</f>
        <v>239576.34</v>
      </c>
      <c r="E273" s="82">
        <f>'[30]Flujo para el libro'!E$16</f>
        <v>9240.289999999999</v>
      </c>
      <c r="F273" s="81">
        <f>'[30]Flujo para el libro'!F$16</f>
        <v>241265.35</v>
      </c>
      <c r="G273" s="82">
        <f>'[30]Flujo para el libro'!G$16</f>
        <v>9532.550000000001</v>
      </c>
      <c r="H273" s="81">
        <f>'[30]Flujo para el libro'!H$16</f>
        <v>242966.27</v>
      </c>
      <c r="I273" s="82">
        <f>'[30]Flujo para el libro'!I$16</f>
        <v>8890.050000000001</v>
      </c>
      <c r="J273" s="81">
        <f>'[30]Flujo para el libro'!J$16</f>
        <v>244679.18</v>
      </c>
      <c r="K273" s="82">
        <f>'[30]Flujo para el libro'!K$16</f>
        <v>8832.320000000002</v>
      </c>
      <c r="L273" s="81">
        <f>'[30]Flujo para el libro'!L$16</f>
        <v>246404.16999999998</v>
      </c>
      <c r="M273" s="82">
        <f>'[30]Flujo para el libro'!M$16</f>
        <v>8201.890000000001</v>
      </c>
      <c r="N273" s="51">
        <f t="shared" si="85"/>
        <v>1452790.46</v>
      </c>
      <c r="O273" s="50">
        <f t="shared" si="86"/>
        <v>54908.71</v>
      </c>
      <c r="P273" s="81">
        <f>'[30]Flujo para el libro'!N$16</f>
        <v>248141.32</v>
      </c>
      <c r="Q273" s="82">
        <f>'[30]Flujo para el libro'!O$16</f>
        <v>8110.45</v>
      </c>
      <c r="R273" s="81">
        <f>'[30]Flujo para el libro'!P$16</f>
        <v>249890.71</v>
      </c>
      <c r="S273" s="82">
        <f>'[30]Flujo para el libro'!Q$16</f>
        <v>7741.25</v>
      </c>
      <c r="T273" s="81">
        <f>'[30]Flujo para el libro'!R$16</f>
        <v>251652.44</v>
      </c>
      <c r="U273" s="82">
        <f>'[30]Flujo para el libro'!S$16</f>
        <v>7129.79</v>
      </c>
      <c r="V273" s="81">
        <f>'[30]Flujo para el libro'!T$16</f>
        <v>253426.59</v>
      </c>
      <c r="W273" s="82">
        <f>'[30]Flujo para el libro'!U$16</f>
        <v>6986.009999999999</v>
      </c>
      <c r="X273" s="81">
        <f>'[30]Flujo para el libro'!V$16</f>
        <v>255213.25</v>
      </c>
      <c r="Y273" s="82">
        <f>'[30]Flujo para el libro'!W$16</f>
        <v>6387.81</v>
      </c>
      <c r="Z273" s="81">
        <f>'[30]Flujo para el libro'!X$16</f>
        <v>257012.5</v>
      </c>
      <c r="AA273" s="82">
        <f>'[30]Flujo para el libro'!Y$16</f>
        <v>6207.9400000000005</v>
      </c>
      <c r="AB273" s="51">
        <f t="shared" si="88"/>
        <v>2968127.27</v>
      </c>
      <c r="AC273" s="50">
        <f t="shared" si="89"/>
        <v>97471.95999999999</v>
      </c>
    </row>
    <row r="274" spans="1:29" ht="12.75">
      <c r="A274" s="34" t="s">
        <v>11</v>
      </c>
      <c r="B274" s="81">
        <f>'[5]Flujo para el libro'!B$16</f>
        <v>10799.57</v>
      </c>
      <c r="C274" s="82">
        <f>'[5]Flujo para el libro'!C$16</f>
        <v>784.45</v>
      </c>
      <c r="D274" s="81">
        <f>'[5]Flujo para el libro'!D$16</f>
        <v>10857.369999999999</v>
      </c>
      <c r="E274" s="82">
        <f>'[5]Flujo para el libro'!E$16</f>
        <v>721.9399999999999</v>
      </c>
      <c r="F274" s="81">
        <f>'[5]Flujo para el libro'!F$16</f>
        <v>10915.23</v>
      </c>
      <c r="G274" s="82">
        <f>'[5]Flujo para el libro'!G$16</f>
        <v>758.14</v>
      </c>
      <c r="H274" s="81">
        <f>'[5]Flujo para el libro'!H$16</f>
        <v>10973.14</v>
      </c>
      <c r="I274" s="82">
        <f>'[5]Flujo para el libro'!I$16</f>
        <v>720.82</v>
      </c>
      <c r="J274" s="81">
        <f>'[5]Flujo para el libro'!J$16</f>
        <v>11031.09</v>
      </c>
      <c r="K274" s="82">
        <f>'[5]Flujo para el libro'!K$16</f>
        <v>731.05</v>
      </c>
      <c r="L274" s="81">
        <f>'[5]Flujo para el libro'!L$16</f>
        <v>11089.07</v>
      </c>
      <c r="M274" s="82">
        <f>'[5]Flujo para el libro'!M$16</f>
        <v>694.23</v>
      </c>
      <c r="N274" s="51">
        <f t="shared" si="85"/>
        <v>65665.47</v>
      </c>
      <c r="O274" s="50">
        <f t="shared" si="86"/>
        <v>4410.629999999999</v>
      </c>
      <c r="P274" s="81">
        <f>'[5]Flujo para el libro'!N$16</f>
        <v>11147.06</v>
      </c>
      <c r="Q274" s="82">
        <f>'[5]Flujo para el libro'!O$16</f>
        <v>703.19</v>
      </c>
      <c r="R274" s="81">
        <f>'[5]Flujo para el libro'!P$16</f>
        <v>11205.039999999999</v>
      </c>
      <c r="S274" s="82">
        <f>'[5]Flujo para el libro'!Q$16</f>
        <v>688.9599999999999</v>
      </c>
      <c r="T274" s="81">
        <f>'[5]Flujo para el libro'!R$16</f>
        <v>11263</v>
      </c>
      <c r="U274" s="82">
        <f>'[5]Flujo para el libro'!S$16</f>
        <v>652.9000000000001</v>
      </c>
      <c r="V274" s="81">
        <f>'[5]Flujo para el libro'!T$16</f>
        <v>11320.919999999998</v>
      </c>
      <c r="W274" s="82">
        <f>'[5]Flujo para el libro'!U$16</f>
        <v>659.9</v>
      </c>
      <c r="X274" s="81">
        <f>'[5]Flujo para el libro'!V$16</f>
        <v>11378.77</v>
      </c>
      <c r="Y274" s="82">
        <f>'[5]Flujo para el libro'!W$16</f>
        <v>624.39</v>
      </c>
      <c r="Z274" s="81">
        <f>'[5]Flujo para el libro'!X$16</f>
        <v>11436.539999999999</v>
      </c>
      <c r="AA274" s="82">
        <f>'[5]Flujo para el libro'!Y$16</f>
        <v>630.03</v>
      </c>
      <c r="AB274" s="51">
        <f t="shared" si="88"/>
        <v>133416.8</v>
      </c>
      <c r="AC274" s="50">
        <f t="shared" si="89"/>
        <v>8370</v>
      </c>
    </row>
    <row r="275" spans="1:29" ht="12.75">
      <c r="A275" s="33" t="s">
        <v>129</v>
      </c>
      <c r="B275" s="32">
        <f aca="true" t="shared" si="90" ref="B275:M275">SUM(B276:B279)</f>
        <v>569151.93</v>
      </c>
      <c r="C275" s="31">
        <f t="shared" si="90"/>
        <v>81116.56000000001</v>
      </c>
      <c r="D275" s="32">
        <f t="shared" si="90"/>
        <v>439737.53</v>
      </c>
      <c r="E275" s="31">
        <f t="shared" si="90"/>
        <v>73473.11</v>
      </c>
      <c r="F275" s="32">
        <f t="shared" si="90"/>
        <v>445749.63</v>
      </c>
      <c r="G275" s="31">
        <f t="shared" si="90"/>
        <v>67461.01</v>
      </c>
      <c r="H275" s="32">
        <f t="shared" si="90"/>
        <v>451844.45</v>
      </c>
      <c r="I275" s="31">
        <f t="shared" si="90"/>
        <v>61366.19</v>
      </c>
      <c r="J275" s="32">
        <f t="shared" si="90"/>
        <v>458023.14</v>
      </c>
      <c r="K275" s="31">
        <f t="shared" si="90"/>
        <v>55187.5</v>
      </c>
      <c r="L275" s="32">
        <f t="shared" si="90"/>
        <v>464286.88</v>
      </c>
      <c r="M275" s="31">
        <f t="shared" si="90"/>
        <v>48923.76</v>
      </c>
      <c r="N275" s="32">
        <f t="shared" si="85"/>
        <v>2828793.56</v>
      </c>
      <c r="O275" s="31">
        <f t="shared" si="86"/>
        <v>387528.13</v>
      </c>
      <c r="P275" s="32">
        <f aca="true" t="shared" si="91" ref="P275:AA275">SUM(P276:P279)</f>
        <v>470636.82999999996</v>
      </c>
      <c r="Q275" s="31">
        <f t="shared" si="91"/>
        <v>42573.8</v>
      </c>
      <c r="R275" s="32">
        <f t="shared" si="91"/>
        <v>477074.19999999995</v>
      </c>
      <c r="S275" s="31">
        <f t="shared" si="91"/>
        <v>36136.44</v>
      </c>
      <c r="T275" s="32">
        <f t="shared" si="91"/>
        <v>483600.17000000004</v>
      </c>
      <c r="U275" s="31">
        <f t="shared" si="91"/>
        <v>29610.47</v>
      </c>
      <c r="V275" s="32">
        <f t="shared" si="91"/>
        <v>490216</v>
      </c>
      <c r="W275" s="31">
        <f t="shared" si="91"/>
        <v>22994.64</v>
      </c>
      <c r="X275" s="32">
        <f t="shared" si="91"/>
        <v>496922.92</v>
      </c>
      <c r="Y275" s="31">
        <f t="shared" si="91"/>
        <v>16287.71</v>
      </c>
      <c r="Z275" s="32">
        <f t="shared" si="91"/>
        <v>207722.62</v>
      </c>
      <c r="AA275" s="31">
        <f t="shared" si="91"/>
        <v>9488.43</v>
      </c>
      <c r="AB275" s="32">
        <f t="shared" si="88"/>
        <v>5454966.3</v>
      </c>
      <c r="AC275" s="31">
        <f t="shared" si="89"/>
        <v>544619.62</v>
      </c>
    </row>
    <row r="276" spans="1:29" ht="12.75" hidden="1">
      <c r="A276" s="34" t="s">
        <v>21</v>
      </c>
      <c r="B276" s="81"/>
      <c r="C276" s="82"/>
      <c r="D276" s="81"/>
      <c r="E276" s="82"/>
      <c r="F276" s="81"/>
      <c r="G276" s="82"/>
      <c r="H276" s="81"/>
      <c r="I276" s="82"/>
      <c r="J276" s="81"/>
      <c r="K276" s="82"/>
      <c r="L276" s="81"/>
      <c r="M276" s="82"/>
      <c r="N276" s="51">
        <f t="shared" si="85"/>
        <v>0</v>
      </c>
      <c r="O276" s="50">
        <f t="shared" si="86"/>
        <v>0</v>
      </c>
      <c r="P276" s="81"/>
      <c r="Q276" s="82"/>
      <c r="R276" s="81"/>
      <c r="S276" s="82"/>
      <c r="T276" s="81"/>
      <c r="U276" s="82"/>
      <c r="V276" s="81"/>
      <c r="W276" s="82"/>
      <c r="X276" s="81"/>
      <c r="Y276" s="82"/>
      <c r="Z276" s="81"/>
      <c r="AA276" s="82"/>
      <c r="AB276" s="51">
        <f t="shared" si="88"/>
        <v>0</v>
      </c>
      <c r="AC276" s="50">
        <f t="shared" si="89"/>
        <v>0</v>
      </c>
    </row>
    <row r="277" spans="1:29" ht="12.75">
      <c r="A277" s="34" t="s">
        <v>126</v>
      </c>
      <c r="B277" s="545">
        <f>'[56]Flujos Vencimientos'!$B$16</f>
        <v>176342.63</v>
      </c>
      <c r="C277" s="546">
        <f>'[56]Flujos Vencimientos'!$C$16</f>
        <v>40868.42</v>
      </c>
      <c r="D277" s="545">
        <f>'[56]Flujos Vencimientos'!$D$16</f>
        <v>178987.77</v>
      </c>
      <c r="E277" s="546">
        <f>'[56]Flujos Vencimientos'!$E$16</f>
        <v>38223.28</v>
      </c>
      <c r="F277" s="545">
        <f>'[56]Flujos Vencimientos'!$F$16</f>
        <v>181672.59</v>
      </c>
      <c r="G277" s="546">
        <f>'[56]Flujos Vencimientos'!$G$16</f>
        <v>35538.46</v>
      </c>
      <c r="H277" s="545">
        <f>'[56]Flujos Vencimientos'!$H$16</f>
        <v>184397.68</v>
      </c>
      <c r="I277" s="546">
        <f>'[56]Flujos Vencimientos'!$I$16</f>
        <v>32813.37</v>
      </c>
      <c r="J277" s="545">
        <f>'[56]Flujos Vencimientos'!$J$16</f>
        <v>187163.64</v>
      </c>
      <c r="K277" s="546">
        <f>'[56]Flujos Vencimientos'!$K$16</f>
        <v>30047.41</v>
      </c>
      <c r="L277" s="545">
        <f>'[56]Flujos Vencimientos'!$L$16</f>
        <v>189971.1</v>
      </c>
      <c r="M277" s="546">
        <f>'[56]Flujos Vencimientos'!$M$16</f>
        <v>27239.95</v>
      </c>
      <c r="N277" s="547">
        <f t="shared" si="85"/>
        <v>1098535.41</v>
      </c>
      <c r="O277" s="84">
        <f t="shared" si="86"/>
        <v>204730.89</v>
      </c>
      <c r="P277" s="545">
        <f>'[56]Flujos Vencimientos'!$N$16</f>
        <v>192820.67</v>
      </c>
      <c r="Q277" s="546">
        <f>'[56]Flujos Vencimientos'!$O$16</f>
        <v>24390.38</v>
      </c>
      <c r="R277" s="545">
        <f>'[56]Flujos Vencimientos'!$P$16</f>
        <v>195712.98</v>
      </c>
      <c r="S277" s="546">
        <f>'[56]Flujos Vencimientos'!$Q$16</f>
        <v>21498.07</v>
      </c>
      <c r="T277" s="545">
        <f>'[56]Flujos Vencimientos'!$R$16</f>
        <v>198648.67</v>
      </c>
      <c r="U277" s="546">
        <f>'[56]Flujos Vencimientos'!$S$16</f>
        <v>18562.38</v>
      </c>
      <c r="V277" s="545">
        <f>'[56]Flujos Vencimientos'!$T$16</f>
        <v>201628.4</v>
      </c>
      <c r="W277" s="546">
        <f>'[56]Flujos Vencimientos'!$U$16</f>
        <v>15582.65</v>
      </c>
      <c r="X277" s="545">
        <f>'[56]Flujos Vencimientos'!$V$16</f>
        <v>204652.82</v>
      </c>
      <c r="Y277" s="546">
        <f>'[56]Flujos Vencimientos'!$W$16</f>
        <v>12558.22</v>
      </c>
      <c r="Z277" s="545">
        <f>'[56]Flujos Vencimientos'!$X$16</f>
        <v>207722.62</v>
      </c>
      <c r="AA277" s="546">
        <f>'[56]Flujos Vencimientos'!$Y$16</f>
        <v>9488.43</v>
      </c>
      <c r="AB277" s="547">
        <f>+N277+P277+R277+T277+V277+X277+Z277</f>
        <v>2299721.57</v>
      </c>
      <c r="AC277" s="84">
        <f>O277+Q277+S277+U277+W277+Y277+AA277</f>
        <v>306811.02</v>
      </c>
    </row>
    <row r="278" spans="1:29" ht="12.75">
      <c r="A278" s="34" t="s">
        <v>105</v>
      </c>
      <c r="B278" s="81">
        <f>'[45]Flujos Vencimientos'!$B$16</f>
        <v>257464.41</v>
      </c>
      <c r="C278" s="82">
        <f>'[45]Flujos Vencimientos'!$C$16</f>
        <v>38535.18</v>
      </c>
      <c r="D278" s="81">
        <f>'[45]Flujos Vencimientos'!$D$16</f>
        <v>260749.76</v>
      </c>
      <c r="E278" s="82">
        <f>'[45]Flujos Vencimientos'!$E$16</f>
        <v>35249.83</v>
      </c>
      <c r="F278" s="81">
        <f>'[45]Flujos Vencimientos'!$F$16</f>
        <v>264077.04</v>
      </c>
      <c r="G278" s="82">
        <f>'[45]Flujos Vencimientos'!$G$16</f>
        <v>31922.55</v>
      </c>
      <c r="H278" s="81">
        <f>'[45]Flujos Vencimientos'!$H$16</f>
        <v>267446.77</v>
      </c>
      <c r="I278" s="82">
        <f>'[45]Flujos Vencimientos'!$I$16</f>
        <v>28552.82</v>
      </c>
      <c r="J278" s="81">
        <f>'[45]Flujos Vencimientos'!$J$16</f>
        <v>270859.5</v>
      </c>
      <c r="K278" s="82">
        <f>'[45]Flujos Vencimientos'!$K$16</f>
        <v>25140.09</v>
      </c>
      <c r="L278" s="81">
        <f>'[45]Flujos Vencimientos'!$L$16</f>
        <v>274315.78</v>
      </c>
      <c r="M278" s="82">
        <f>'[45]Flujos Vencimientos'!$M$16</f>
        <v>21683.81</v>
      </c>
      <c r="N278" s="51">
        <f t="shared" si="85"/>
        <v>1594913.26</v>
      </c>
      <c r="O278" s="50">
        <f t="shared" si="86"/>
        <v>181084.28</v>
      </c>
      <c r="P278" s="81">
        <f>'[45]Flujos Vencimientos'!$N$16</f>
        <v>277816.16</v>
      </c>
      <c r="Q278" s="82">
        <f>'[45]Flujos Vencimientos'!$O$16</f>
        <v>18183.42</v>
      </c>
      <c r="R278" s="81">
        <f>'[45]Flujos Vencimientos'!$P$16</f>
        <v>281361.22</v>
      </c>
      <c r="S278" s="82">
        <f>'[45]Flujos Vencimientos'!$Q$16</f>
        <v>14638.37</v>
      </c>
      <c r="T278" s="81">
        <f>'[45]Flujos Vencimientos'!$R$16</f>
        <v>284951.5</v>
      </c>
      <c r="U278" s="82">
        <f>'[45]Flujos Vencimientos'!$S$16</f>
        <v>11048.09</v>
      </c>
      <c r="V278" s="81">
        <f>'[45]Flujos Vencimientos'!$T$16</f>
        <v>288587.6</v>
      </c>
      <c r="W278" s="82">
        <f>'[45]Flujos Vencimientos'!$U$16</f>
        <v>7411.99</v>
      </c>
      <c r="X278" s="81">
        <f>'[45]Flujos Vencimientos'!$V$16</f>
        <v>292270.1</v>
      </c>
      <c r="Y278" s="82">
        <f>'[45]Flujos Vencimientos'!$W$16</f>
        <v>3729.49</v>
      </c>
      <c r="Z278" s="79"/>
      <c r="AA278" s="80"/>
      <c r="AB278" s="51">
        <f t="shared" si="88"/>
        <v>3019899.84</v>
      </c>
      <c r="AC278" s="50">
        <f t="shared" si="89"/>
        <v>236095.63999999998</v>
      </c>
    </row>
    <row r="279" spans="1:29" ht="12.75">
      <c r="A279" s="34" t="s">
        <v>10</v>
      </c>
      <c r="B279" s="81">
        <f>'[46]Flujos Vencimientos'!$B$16</f>
        <v>135344.89</v>
      </c>
      <c r="C279" s="82">
        <f>'[46]Flujos Vencimientos'!$C$16</f>
        <v>1712.96</v>
      </c>
      <c r="D279" s="79"/>
      <c r="E279" s="80"/>
      <c r="F279" s="79"/>
      <c r="G279" s="80"/>
      <c r="H279" s="79"/>
      <c r="I279" s="80"/>
      <c r="J279" s="79"/>
      <c r="K279" s="80"/>
      <c r="L279" s="79"/>
      <c r="M279" s="80"/>
      <c r="N279" s="51">
        <f t="shared" si="85"/>
        <v>135344.89</v>
      </c>
      <c r="O279" s="50">
        <f t="shared" si="86"/>
        <v>1712.96</v>
      </c>
      <c r="P279" s="79"/>
      <c r="Q279" s="80"/>
      <c r="R279" s="79"/>
      <c r="S279" s="80"/>
      <c r="T279" s="79"/>
      <c r="U279" s="80"/>
      <c r="V279" s="79"/>
      <c r="W279" s="80"/>
      <c r="X279" s="79"/>
      <c r="Y279" s="80"/>
      <c r="Z279" s="79"/>
      <c r="AA279" s="80"/>
      <c r="AB279" s="51">
        <f t="shared" si="88"/>
        <v>135344.89</v>
      </c>
      <c r="AC279" s="50">
        <f t="shared" si="89"/>
        <v>1712.96</v>
      </c>
    </row>
    <row r="280" spans="1:29" ht="12.75">
      <c r="A280" s="134" t="s">
        <v>130</v>
      </c>
      <c r="B280" s="32">
        <f aca="true" t="shared" si="92" ref="B280:AC280">SUM(B281:B283)</f>
        <v>50262.6</v>
      </c>
      <c r="C280" s="31">
        <f t="shared" si="92"/>
        <v>51603.33</v>
      </c>
      <c r="D280" s="32">
        <f t="shared" si="92"/>
        <v>50262.6</v>
      </c>
      <c r="E280" s="31">
        <f t="shared" si="92"/>
        <v>48034.48</v>
      </c>
      <c r="F280" s="32">
        <f t="shared" si="92"/>
        <v>50262.6</v>
      </c>
      <c r="G280" s="31">
        <f t="shared" si="92"/>
        <v>51091.07</v>
      </c>
      <c r="H280" s="32">
        <f t="shared" si="92"/>
        <v>50262.6</v>
      </c>
      <c r="I280" s="31">
        <f t="shared" si="92"/>
        <v>49195.1</v>
      </c>
      <c r="J280" s="32">
        <f t="shared" si="92"/>
        <v>50262.6</v>
      </c>
      <c r="K280" s="31">
        <f t="shared" si="92"/>
        <v>50578.8</v>
      </c>
      <c r="L280" s="32">
        <f t="shared" si="92"/>
        <v>50262.6</v>
      </c>
      <c r="M280" s="31">
        <f t="shared" si="92"/>
        <v>48699.36</v>
      </c>
      <c r="N280" s="32">
        <f t="shared" si="92"/>
        <v>301575.6</v>
      </c>
      <c r="O280" s="31">
        <f t="shared" si="92"/>
        <v>299202.14</v>
      </c>
      <c r="P280" s="32">
        <f t="shared" si="92"/>
        <v>50262.6</v>
      </c>
      <c r="Q280" s="31">
        <f t="shared" si="92"/>
        <v>50066.54</v>
      </c>
      <c r="R280" s="32">
        <f t="shared" si="92"/>
        <v>50262.6</v>
      </c>
      <c r="S280" s="31">
        <f t="shared" si="92"/>
        <v>49810.4</v>
      </c>
      <c r="T280" s="32">
        <f t="shared" si="92"/>
        <v>50262.6</v>
      </c>
      <c r="U280" s="31">
        <f t="shared" si="92"/>
        <v>47955.74</v>
      </c>
      <c r="V280" s="32">
        <f t="shared" si="92"/>
        <v>50262.6</v>
      </c>
      <c r="W280" s="31">
        <f t="shared" si="92"/>
        <v>49298.14</v>
      </c>
      <c r="X280" s="32">
        <f t="shared" si="92"/>
        <v>50262.6</v>
      </c>
      <c r="Y280" s="31">
        <f t="shared" si="92"/>
        <v>47460</v>
      </c>
      <c r="Z280" s="32">
        <f t="shared" si="92"/>
        <v>50262.6</v>
      </c>
      <c r="AA280" s="31">
        <f t="shared" si="92"/>
        <v>48785.87</v>
      </c>
      <c r="AB280" s="32">
        <f t="shared" si="92"/>
        <v>603151.1999999998</v>
      </c>
      <c r="AC280" s="31">
        <f t="shared" si="92"/>
        <v>592578.83</v>
      </c>
    </row>
    <row r="281" spans="1:29" ht="12.75">
      <c r="A281" s="5" t="s">
        <v>22</v>
      </c>
      <c r="B281" s="545">
        <f>'[68]Flujo vencimientos'!B$16</f>
        <v>50262.6</v>
      </c>
      <c r="C281" s="546">
        <f>'[68]Flujo vencimientos'!C$16</f>
        <v>51603.33</v>
      </c>
      <c r="D281" s="545">
        <f>'[68]Flujo vencimientos'!D$16</f>
        <v>50262.6</v>
      </c>
      <c r="E281" s="546">
        <f>'[68]Flujo vencimientos'!E$16</f>
        <v>48034.48</v>
      </c>
      <c r="F281" s="545">
        <f>'[68]Flujo vencimientos'!F$16</f>
        <v>50262.6</v>
      </c>
      <c r="G281" s="546">
        <f>'[68]Flujo vencimientos'!G$16</f>
        <v>51091.07</v>
      </c>
      <c r="H281" s="545">
        <f>'[68]Flujo vencimientos'!H$16</f>
        <v>50262.6</v>
      </c>
      <c r="I281" s="546">
        <f>'[68]Flujo vencimientos'!I$16</f>
        <v>49195.1</v>
      </c>
      <c r="J281" s="545">
        <f>'[68]Flujo vencimientos'!J$16</f>
        <v>50262.6</v>
      </c>
      <c r="K281" s="546">
        <f>'[68]Flujo vencimientos'!K$16</f>
        <v>50578.8</v>
      </c>
      <c r="L281" s="545">
        <f>'[68]Flujo vencimientos'!L$16</f>
        <v>50262.6</v>
      </c>
      <c r="M281" s="546">
        <f>'[68]Flujo vencimientos'!M$16</f>
        <v>48699.36</v>
      </c>
      <c r="N281" s="547">
        <f>B281+D281+F281+H281+J281+L281</f>
        <v>301575.6</v>
      </c>
      <c r="O281" s="84">
        <f>C281+E281+G281+I281+K281+M281</f>
        <v>299202.14</v>
      </c>
      <c r="P281" s="545">
        <f>'[68]Flujo vencimientos'!N$16</f>
        <v>50262.6</v>
      </c>
      <c r="Q281" s="546">
        <f>'[68]Flujo vencimientos'!O$16</f>
        <v>50066.54</v>
      </c>
      <c r="R281" s="545">
        <f>'[68]Flujo vencimientos'!P$16</f>
        <v>50262.6</v>
      </c>
      <c r="S281" s="546">
        <f>'[68]Flujo vencimientos'!Q$16</f>
        <v>49810.4</v>
      </c>
      <c r="T281" s="545">
        <f>'[68]Flujo vencimientos'!R$16</f>
        <v>50262.6</v>
      </c>
      <c r="U281" s="546">
        <f>'[68]Flujo vencimientos'!S$16</f>
        <v>47955.74</v>
      </c>
      <c r="V281" s="545">
        <f>'[68]Flujo vencimientos'!T$16</f>
        <v>50262.6</v>
      </c>
      <c r="W281" s="546">
        <f>'[68]Flujo vencimientos'!U$16</f>
        <v>49298.14</v>
      </c>
      <c r="X281" s="545">
        <f>'[68]Flujo vencimientos'!V$16</f>
        <v>50262.6</v>
      </c>
      <c r="Y281" s="546">
        <f>'[68]Flujo vencimientos'!W$16</f>
        <v>47460</v>
      </c>
      <c r="Z281" s="545">
        <f>'[68]Flujo vencimientos'!X$16</f>
        <v>50262.6</v>
      </c>
      <c r="AA281" s="546">
        <f>'[68]Flujo vencimientos'!Y$16</f>
        <v>48785.87</v>
      </c>
      <c r="AB281" s="547">
        <f>+N281+P281+R281+T281+V281+X281+Z281</f>
        <v>603151.1999999998</v>
      </c>
      <c r="AC281" s="84">
        <f>O281+Q281+S281+U281+W281+Y281+AA281</f>
        <v>592578.83</v>
      </c>
    </row>
    <row r="282" spans="1:29" ht="12.75" hidden="1">
      <c r="A282" s="5" t="s">
        <v>8</v>
      </c>
      <c r="B282" s="545"/>
      <c r="C282" s="546"/>
      <c r="D282" s="545"/>
      <c r="E282" s="546"/>
      <c r="F282" s="545"/>
      <c r="G282" s="546"/>
      <c r="H282" s="545"/>
      <c r="I282" s="546"/>
      <c r="J282" s="545"/>
      <c r="K282" s="546"/>
      <c r="L282" s="545"/>
      <c r="M282" s="546"/>
      <c r="N282" s="547">
        <f t="shared" si="85"/>
        <v>0</v>
      </c>
      <c r="O282" s="84">
        <f t="shared" si="86"/>
        <v>0</v>
      </c>
      <c r="P282" s="545"/>
      <c r="Q282" s="546"/>
      <c r="R282" s="545"/>
      <c r="S282" s="546"/>
      <c r="T282" s="545"/>
      <c r="U282" s="546"/>
      <c r="V282" s="545"/>
      <c r="W282" s="546"/>
      <c r="X282" s="545"/>
      <c r="Y282" s="546"/>
      <c r="Z282" s="545"/>
      <c r="AA282" s="546"/>
      <c r="AB282" s="547">
        <f t="shared" si="88"/>
        <v>0</v>
      </c>
      <c r="AC282" s="84">
        <f t="shared" si="89"/>
        <v>0</v>
      </c>
    </row>
    <row r="283" spans="1:29" ht="12.75" hidden="1">
      <c r="A283" s="5" t="s">
        <v>11</v>
      </c>
      <c r="B283" s="545"/>
      <c r="C283" s="546"/>
      <c r="D283" s="545"/>
      <c r="E283" s="546"/>
      <c r="F283" s="545"/>
      <c r="G283" s="546"/>
      <c r="H283" s="545"/>
      <c r="I283" s="546"/>
      <c r="J283" s="545"/>
      <c r="K283" s="546"/>
      <c r="L283" s="545"/>
      <c r="M283" s="546"/>
      <c r="N283" s="547">
        <f t="shared" si="85"/>
        <v>0</v>
      </c>
      <c r="O283" s="84">
        <f t="shared" si="86"/>
        <v>0</v>
      </c>
      <c r="P283" s="545"/>
      <c r="Q283" s="546"/>
      <c r="R283" s="545"/>
      <c r="S283" s="546"/>
      <c r="T283" s="545"/>
      <c r="U283" s="546"/>
      <c r="V283" s="545"/>
      <c r="W283" s="546"/>
      <c r="X283" s="545"/>
      <c r="Y283" s="546"/>
      <c r="Z283" s="545"/>
      <c r="AA283" s="546"/>
      <c r="AB283" s="547">
        <f t="shared" si="88"/>
        <v>0</v>
      </c>
      <c r="AC283" s="84">
        <f t="shared" si="89"/>
        <v>0</v>
      </c>
    </row>
    <row r="284" spans="1:29" s="1" customFormat="1" ht="12">
      <c r="A284" s="134" t="s">
        <v>179</v>
      </c>
      <c r="B284" s="32">
        <f>SUM(B285:B288)</f>
        <v>1855914.4100000001</v>
      </c>
      <c r="C284" s="31">
        <f>SUM(C285:C288)</f>
        <v>310256.33</v>
      </c>
      <c r="D284" s="32">
        <f aca="true" t="shared" si="93" ref="D284:M284">SUM(D285:D288)</f>
        <v>59882.17</v>
      </c>
      <c r="E284" s="31">
        <f t="shared" si="93"/>
        <v>15937.71</v>
      </c>
      <c r="F284" s="32">
        <f t="shared" si="93"/>
        <v>358080.72000000003</v>
      </c>
      <c r="G284" s="31">
        <f t="shared" si="93"/>
        <v>97147.15999999999</v>
      </c>
      <c r="H284" s="32">
        <f t="shared" si="93"/>
        <v>60635.67</v>
      </c>
      <c r="I284" s="31">
        <f t="shared" si="93"/>
        <v>15184.21</v>
      </c>
      <c r="J284" s="32">
        <f t="shared" si="93"/>
        <v>61016.67</v>
      </c>
      <c r="K284" s="31">
        <f t="shared" si="93"/>
        <v>14803.21</v>
      </c>
      <c r="L284" s="32">
        <f t="shared" si="93"/>
        <v>61400.53</v>
      </c>
      <c r="M284" s="31">
        <f t="shared" si="93"/>
        <v>14419.35</v>
      </c>
      <c r="N284" s="32">
        <f t="shared" si="85"/>
        <v>2456930.17</v>
      </c>
      <c r="O284" s="31">
        <f t="shared" si="86"/>
        <v>467747.97000000003</v>
      </c>
      <c r="P284" s="32">
        <f aca="true" t="shared" si="94" ref="P284:AA284">SUM(P285:P288)</f>
        <v>1951268.28</v>
      </c>
      <c r="Q284" s="31">
        <f t="shared" si="94"/>
        <v>214902.47</v>
      </c>
      <c r="R284" s="32">
        <f t="shared" si="94"/>
        <v>62176.9</v>
      </c>
      <c r="S284" s="31">
        <f t="shared" si="94"/>
        <v>13642.98</v>
      </c>
      <c r="T284" s="32">
        <f t="shared" si="94"/>
        <v>385424.7</v>
      </c>
      <c r="U284" s="31">
        <f t="shared" si="94"/>
        <v>69803.18</v>
      </c>
      <c r="V284" s="32">
        <f t="shared" si="94"/>
        <v>62964.95</v>
      </c>
      <c r="W284" s="31">
        <f t="shared" si="94"/>
        <v>12854.93</v>
      </c>
      <c r="X284" s="32">
        <f t="shared" si="94"/>
        <v>63363.42</v>
      </c>
      <c r="Y284" s="31">
        <f t="shared" si="94"/>
        <v>12456.46</v>
      </c>
      <c r="Z284" s="32">
        <f t="shared" si="94"/>
        <v>63764.88</v>
      </c>
      <c r="AA284" s="31">
        <f t="shared" si="94"/>
        <v>12055</v>
      </c>
      <c r="AB284" s="32">
        <f t="shared" si="88"/>
        <v>5045893.300000001</v>
      </c>
      <c r="AC284" s="31">
        <f t="shared" si="89"/>
        <v>803462.9900000001</v>
      </c>
    </row>
    <row r="285" spans="1:29" s="1" customFormat="1" ht="12">
      <c r="A285" s="34" t="str">
        <f>A243</f>
        <v>Capital (Supervielle)</v>
      </c>
      <c r="B285" s="81">
        <f>'[22]Flujos Vencimientos'!$B$16</f>
        <v>1796404.8</v>
      </c>
      <c r="C285" s="82">
        <f>'[22]Flujos Vencimientos'!$C$16</f>
        <v>293946.07</v>
      </c>
      <c r="D285" s="79"/>
      <c r="E285" s="80"/>
      <c r="F285" s="79"/>
      <c r="G285" s="80"/>
      <c r="H285" s="79"/>
      <c r="I285" s="80"/>
      <c r="J285" s="79"/>
      <c r="K285" s="80"/>
      <c r="L285" s="79"/>
      <c r="M285" s="80"/>
      <c r="N285" s="51">
        <f t="shared" si="85"/>
        <v>1796404.8</v>
      </c>
      <c r="O285" s="50">
        <f t="shared" si="86"/>
        <v>293946.07</v>
      </c>
      <c r="P285" s="81">
        <f>'[22]Flujos Vencimientos'!$N$16</f>
        <v>1889481.02</v>
      </c>
      <c r="Q285" s="82">
        <f>'[22]Flujos Vencimientos'!$O$16</f>
        <v>200869.85</v>
      </c>
      <c r="R285" s="79"/>
      <c r="S285" s="80"/>
      <c r="T285" s="79"/>
      <c r="U285" s="80"/>
      <c r="V285" s="79"/>
      <c r="W285" s="80"/>
      <c r="X285" s="79"/>
      <c r="Y285" s="80"/>
      <c r="Z285" s="79"/>
      <c r="AA285" s="80"/>
      <c r="AB285" s="51">
        <f>+N285+P285+R285+T285+V285+X285+Z285</f>
        <v>3685885.8200000003</v>
      </c>
      <c r="AC285" s="50">
        <f>O285+Q285+S285+U285+W285+Y285+AA285</f>
        <v>494815.92000000004</v>
      </c>
    </row>
    <row r="286" spans="1:29" s="1" customFormat="1" ht="12">
      <c r="A286" s="34" t="str">
        <f>A245</f>
        <v>Maipú (ENOSHA)</v>
      </c>
      <c r="B286" s="81">
        <f>'[19]Flujo para el libro'!B$16</f>
        <v>49673.61</v>
      </c>
      <c r="C286" s="82">
        <f>'[19]Flujo para el libro'!C$16</f>
        <v>16310.26</v>
      </c>
      <c r="D286" s="81">
        <f>'[19]Flujo para el libro'!D$16</f>
        <v>50046.17</v>
      </c>
      <c r="E286" s="82">
        <f>'[19]Flujo para el libro'!E$16</f>
        <v>15937.71</v>
      </c>
      <c r="F286" s="81">
        <f>'[19]Flujo para el libro'!F$16</f>
        <v>50421.51</v>
      </c>
      <c r="G286" s="82">
        <f>'[19]Flujo para el libro'!G$16</f>
        <v>15562.37</v>
      </c>
      <c r="H286" s="81">
        <f>'[19]Flujo para el libro'!H$16</f>
        <v>50799.67</v>
      </c>
      <c r="I286" s="82">
        <f>'[19]Flujo para el libro'!I$16</f>
        <v>15184.21</v>
      </c>
      <c r="J286" s="81">
        <f>'[19]Flujo para el libro'!J$16</f>
        <v>51180.67</v>
      </c>
      <c r="K286" s="82">
        <f>'[19]Flujo para el libro'!K$16</f>
        <v>14803.21</v>
      </c>
      <c r="L286" s="81">
        <f>'[19]Flujo para el libro'!L$16</f>
        <v>51564.53</v>
      </c>
      <c r="M286" s="82">
        <f>'[19]Flujo para el libro'!M$16</f>
        <v>14419.35</v>
      </c>
      <c r="N286" s="51">
        <f t="shared" si="85"/>
        <v>303686.16000000003</v>
      </c>
      <c r="O286" s="50">
        <f t="shared" si="86"/>
        <v>92217.11000000002</v>
      </c>
      <c r="P286" s="81">
        <f>'[19]Flujo para el libro'!N$16</f>
        <v>51951.26</v>
      </c>
      <c r="Q286" s="82">
        <f>'[19]Flujo para el libro'!O$16</f>
        <v>14032.62</v>
      </c>
      <c r="R286" s="81">
        <f>'[19]Flujo para el libro'!P$16</f>
        <v>52340.9</v>
      </c>
      <c r="S286" s="82">
        <f>'[19]Flujo para el libro'!Q$16</f>
        <v>13642.98</v>
      </c>
      <c r="T286" s="81">
        <f>'[19]Flujo para el libro'!R$16</f>
        <v>52733.45</v>
      </c>
      <c r="U286" s="82">
        <f>'[19]Flujo para el libro'!S$16</f>
        <v>13250.43</v>
      </c>
      <c r="V286" s="81">
        <f>'[19]Flujo para el libro'!T$16</f>
        <v>53128.95</v>
      </c>
      <c r="W286" s="82">
        <f>'[19]Flujo para el libro'!U$16</f>
        <v>12854.93</v>
      </c>
      <c r="X286" s="81">
        <f>'[19]Flujo para el libro'!V$16</f>
        <v>53527.42</v>
      </c>
      <c r="Y286" s="82">
        <f>'[19]Flujo para el libro'!W$16</f>
        <v>12456.46</v>
      </c>
      <c r="Z286" s="81">
        <f>'[19]Flujo para el libro'!X$16</f>
        <v>53928.88</v>
      </c>
      <c r="AA286" s="82">
        <f>'[19]Flujo para el libro'!Y$16</f>
        <v>12055</v>
      </c>
      <c r="AB286" s="51">
        <f t="shared" si="88"/>
        <v>621297.0200000001</v>
      </c>
      <c r="AC286" s="50">
        <f t="shared" si="89"/>
        <v>170509.53</v>
      </c>
    </row>
    <row r="287" spans="1:29" s="1" customFormat="1" ht="12">
      <c r="A287" s="34" t="s">
        <v>210</v>
      </c>
      <c r="B287" s="81"/>
      <c r="C287" s="82"/>
      <c r="D287" s="81"/>
      <c r="E287" s="82"/>
      <c r="F287" s="81">
        <f>'[14]Flujos Vencimientos'!$F$16</f>
        <v>297823.21</v>
      </c>
      <c r="G287" s="82">
        <f>'[14]Flujos Vencimientos'!$G$16</f>
        <v>81584.79</v>
      </c>
      <c r="H287" s="81"/>
      <c r="I287" s="82"/>
      <c r="J287" s="81"/>
      <c r="K287" s="82"/>
      <c r="L287" s="81"/>
      <c r="M287" s="82"/>
      <c r="N287" s="51">
        <f t="shared" si="85"/>
        <v>297823.21</v>
      </c>
      <c r="O287" s="50">
        <f t="shared" si="86"/>
        <v>81584.79</v>
      </c>
      <c r="P287" s="81"/>
      <c r="Q287" s="82"/>
      <c r="R287" s="81"/>
      <c r="S287" s="82"/>
      <c r="T287" s="81">
        <f>'[14]Flujos Vencimientos'!$R$16</f>
        <v>322855.25</v>
      </c>
      <c r="U287" s="82">
        <f>'[14]Flujos Vencimientos'!$S$16</f>
        <v>56552.75</v>
      </c>
      <c r="V287" s="81"/>
      <c r="W287" s="82"/>
      <c r="X287" s="81"/>
      <c r="Y287" s="82"/>
      <c r="Z287" s="81"/>
      <c r="AA287" s="82"/>
      <c r="AB287" s="51">
        <f t="shared" si="88"/>
        <v>620678.46</v>
      </c>
      <c r="AC287" s="50">
        <f t="shared" si="89"/>
        <v>138137.53999999998</v>
      </c>
    </row>
    <row r="288" spans="1:29" s="1" customFormat="1" ht="12.75" thickBot="1">
      <c r="A288" s="34" t="str">
        <f>A247</f>
        <v>Tupungato (DAABO)</v>
      </c>
      <c r="B288" s="291">
        <f>'[1]Flujos Vencimientos'!B$16</f>
        <v>9836</v>
      </c>
      <c r="C288" s="292"/>
      <c r="D288" s="291">
        <f>'[1]Flujos Vencimientos'!D$16</f>
        <v>9836</v>
      </c>
      <c r="E288" s="292"/>
      <c r="F288" s="291">
        <f>'[1]Flujos Vencimientos'!F$16</f>
        <v>9836</v>
      </c>
      <c r="G288" s="292"/>
      <c r="H288" s="291">
        <f>'[1]Flujos Vencimientos'!H$16</f>
        <v>9836</v>
      </c>
      <c r="I288" s="292"/>
      <c r="J288" s="291">
        <f>'[1]Flujos Vencimientos'!J$16</f>
        <v>9836</v>
      </c>
      <c r="K288" s="292"/>
      <c r="L288" s="291">
        <f>'[1]Flujos Vencimientos'!L$16</f>
        <v>9836</v>
      </c>
      <c r="M288" s="292"/>
      <c r="N288" s="51">
        <f t="shared" si="85"/>
        <v>59016</v>
      </c>
      <c r="O288" s="50">
        <f t="shared" si="86"/>
        <v>0</v>
      </c>
      <c r="P288" s="291">
        <f>'[1]Flujos Vencimientos'!N$16</f>
        <v>9836</v>
      </c>
      <c r="Q288" s="292"/>
      <c r="R288" s="291">
        <f>'[1]Flujos Vencimientos'!P$16</f>
        <v>9836</v>
      </c>
      <c r="S288" s="292"/>
      <c r="T288" s="291">
        <f>'[1]Flujos Vencimientos'!R$16</f>
        <v>9836</v>
      </c>
      <c r="U288" s="292"/>
      <c r="V288" s="291">
        <f>'[1]Flujos Vencimientos'!T$16</f>
        <v>9836</v>
      </c>
      <c r="W288" s="292"/>
      <c r="X288" s="291">
        <f>'[1]Flujos Vencimientos'!V$16</f>
        <v>9836</v>
      </c>
      <c r="Y288" s="292"/>
      <c r="Z288" s="291">
        <f>'[1]Flujos Vencimientos'!X$16</f>
        <v>9836</v>
      </c>
      <c r="AA288" s="292"/>
      <c r="AB288" s="51">
        <f t="shared" si="88"/>
        <v>118032</v>
      </c>
      <c r="AC288" s="50">
        <f t="shared" si="89"/>
        <v>0</v>
      </c>
    </row>
    <row r="289" spans="1:29" s="42" customFormat="1" ht="12.75" thickBot="1">
      <c r="A289" s="30" t="s">
        <v>121</v>
      </c>
      <c r="B289" s="28">
        <f>+B271+B275+B280+B284</f>
        <v>3119902.75</v>
      </c>
      <c r="C289" s="27">
        <f>+C271+C275+C280+C284</f>
        <v>470893.22000000003</v>
      </c>
      <c r="D289" s="28">
        <f aca="true" t="shared" si="95" ref="D289:M289">+D271+D275+D280+D284</f>
        <v>1198982.02</v>
      </c>
      <c r="E289" s="27">
        <f t="shared" si="95"/>
        <v>162714.88999999998</v>
      </c>
      <c r="F289" s="28">
        <f t="shared" si="95"/>
        <v>1507750.14</v>
      </c>
      <c r="G289" s="27">
        <f t="shared" si="95"/>
        <v>241786.37</v>
      </c>
      <c r="H289" s="28">
        <f t="shared" si="95"/>
        <v>1220989.15</v>
      </c>
      <c r="I289" s="27">
        <f t="shared" si="95"/>
        <v>150086.41</v>
      </c>
      <c r="J289" s="28">
        <f t="shared" si="95"/>
        <v>1232170.06</v>
      </c>
      <c r="K289" s="27">
        <f t="shared" si="95"/>
        <v>144769.62</v>
      </c>
      <c r="L289" s="28">
        <f t="shared" si="95"/>
        <v>1243471.09</v>
      </c>
      <c r="M289" s="27">
        <f t="shared" si="95"/>
        <v>134529.02</v>
      </c>
      <c r="N289" s="28">
        <f t="shared" si="85"/>
        <v>9523265.209999999</v>
      </c>
      <c r="O289" s="27">
        <f t="shared" si="86"/>
        <v>1304779.53</v>
      </c>
      <c r="P289" s="28">
        <f aca="true" t="shared" si="96" ref="P289:AA289">+P271+P275+P280+P284</f>
        <v>3144374.62</v>
      </c>
      <c r="Q289" s="27">
        <f t="shared" si="96"/>
        <v>329797.5</v>
      </c>
      <c r="R289" s="28">
        <f t="shared" si="96"/>
        <v>1266439.0499999998</v>
      </c>
      <c r="S289" s="27">
        <f t="shared" si="96"/>
        <v>120849.5</v>
      </c>
      <c r="T289" s="28">
        <f t="shared" si="96"/>
        <v>1600964.11</v>
      </c>
      <c r="U289" s="27">
        <f t="shared" si="96"/>
        <v>166966.85</v>
      </c>
      <c r="V289" s="28">
        <f t="shared" si="96"/>
        <v>1289904.53</v>
      </c>
      <c r="W289" s="27">
        <f t="shared" si="96"/>
        <v>104371.95000000001</v>
      </c>
      <c r="X289" s="28">
        <f t="shared" si="96"/>
        <v>1301827.5</v>
      </c>
      <c r="Y289" s="27">
        <f t="shared" si="96"/>
        <v>93802.09</v>
      </c>
      <c r="Z289" s="28">
        <f t="shared" si="96"/>
        <v>1017879.72</v>
      </c>
      <c r="AA289" s="27">
        <f t="shared" si="96"/>
        <v>87456.49</v>
      </c>
      <c r="AB289" s="49">
        <f t="shared" si="88"/>
        <v>19144654.74</v>
      </c>
      <c r="AC289" s="48">
        <f t="shared" si="89"/>
        <v>2208023.91</v>
      </c>
    </row>
    <row r="290" spans="1:29" s="295" customFormat="1" ht="6" customHeight="1" thickBot="1">
      <c r="A290" s="77"/>
      <c r="B290" s="294"/>
      <c r="C290" s="294"/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294"/>
      <c r="Z290" s="294"/>
      <c r="AA290" s="294"/>
      <c r="AB290" s="294"/>
      <c r="AC290" s="294"/>
    </row>
    <row r="291" spans="1:29" ht="15.75" thickBot="1">
      <c r="A291" s="87" t="s">
        <v>93</v>
      </c>
      <c r="B291" s="28">
        <f>+B268+B289</f>
        <v>3922415.8600000003</v>
      </c>
      <c r="C291" s="27">
        <f aca="true" t="shared" si="97" ref="C291:M291">+C268+C289</f>
        <v>569041.62</v>
      </c>
      <c r="D291" s="28">
        <f t="shared" si="97"/>
        <v>2004402.4500000002</v>
      </c>
      <c r="E291" s="27">
        <f t="shared" si="97"/>
        <v>253584.05</v>
      </c>
      <c r="F291" s="28">
        <f t="shared" si="97"/>
        <v>2316088.8</v>
      </c>
      <c r="G291" s="27">
        <f t="shared" si="97"/>
        <v>337901.08999999997</v>
      </c>
      <c r="H291" s="28">
        <f t="shared" si="97"/>
        <v>2032256.2299999997</v>
      </c>
      <c r="I291" s="27">
        <f t="shared" si="97"/>
        <v>242104.06</v>
      </c>
      <c r="J291" s="28">
        <f t="shared" si="97"/>
        <v>2046376.55</v>
      </c>
      <c r="K291" s="27">
        <f t="shared" si="97"/>
        <v>238815.97999999998</v>
      </c>
      <c r="L291" s="28">
        <f t="shared" si="97"/>
        <v>2060627.25</v>
      </c>
      <c r="M291" s="27">
        <f t="shared" si="97"/>
        <v>224528.16999999998</v>
      </c>
      <c r="N291" s="28">
        <f>B291+D291+F291+H291+J291+L291</f>
        <v>14382167.14</v>
      </c>
      <c r="O291" s="27">
        <f>C291+E291+G291+I291+K291+M291</f>
        <v>1865974.9699999997</v>
      </c>
      <c r="P291" s="28">
        <f aca="true" t="shared" si="98" ref="P291:AA291">+P268+P289</f>
        <v>3964491.5300000003</v>
      </c>
      <c r="Q291" s="27">
        <f t="shared" si="98"/>
        <v>421740.48</v>
      </c>
      <c r="R291" s="28">
        <f t="shared" si="98"/>
        <v>2089527.0599999998</v>
      </c>
      <c r="S291" s="27">
        <f t="shared" si="98"/>
        <v>211727.55000000002</v>
      </c>
      <c r="T291" s="28">
        <f t="shared" si="98"/>
        <v>2427034.3600000003</v>
      </c>
      <c r="U291" s="27">
        <f t="shared" si="98"/>
        <v>253873.89</v>
      </c>
      <c r="V291" s="28">
        <f t="shared" si="98"/>
        <v>2118967.45</v>
      </c>
      <c r="W291" s="27">
        <f t="shared" si="98"/>
        <v>193093.16</v>
      </c>
      <c r="X291" s="28">
        <f t="shared" si="98"/>
        <v>2133894.29</v>
      </c>
      <c r="Y291" s="27">
        <f t="shared" si="98"/>
        <v>178604.45</v>
      </c>
      <c r="Z291" s="28">
        <f t="shared" si="98"/>
        <v>1852960.91</v>
      </c>
      <c r="AA291" s="27">
        <f t="shared" si="98"/>
        <v>173984.65000000002</v>
      </c>
      <c r="AB291" s="49">
        <f>+N291+P291+R291+T291+V291+X291+Z291</f>
        <v>28969042.74</v>
      </c>
      <c r="AC291" s="48">
        <f>O291+Q291+S291+U291+W291+Y291+AA291</f>
        <v>3298999.15</v>
      </c>
    </row>
    <row r="294" spans="1:30" ht="27" thickBot="1">
      <c r="A294" s="21"/>
      <c r="B294" s="21"/>
      <c r="C294" s="21"/>
      <c r="D294" s="21"/>
      <c r="E294" s="21"/>
      <c r="F294" s="21"/>
      <c r="G294" s="21"/>
      <c r="H294" s="22" t="s">
        <v>139</v>
      </c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2" t="str">
        <f>H294</f>
        <v>AÑO 2017</v>
      </c>
      <c r="W294" s="21"/>
      <c r="X294" s="21"/>
      <c r="Y294" s="21"/>
      <c r="Z294" s="21"/>
      <c r="AA294" s="21"/>
      <c r="AB294" s="755"/>
      <c r="AC294" s="755"/>
      <c r="AD294" s="16" t="str">
        <f>V294</f>
        <v>AÑO 2017</v>
      </c>
    </row>
    <row r="295" spans="1:29" s="42" customFormat="1" ht="12.75" thickBot="1">
      <c r="A295" s="45" t="s">
        <v>96</v>
      </c>
      <c r="B295" s="44"/>
      <c r="C295" s="44"/>
      <c r="D295" s="44"/>
      <c r="E295" s="44"/>
      <c r="F295" s="44"/>
      <c r="G295" s="44"/>
      <c r="H295" s="44" t="s">
        <v>144</v>
      </c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 t="str">
        <f>H295</f>
        <v>TOMADOS EN DOLARES</v>
      </c>
      <c r="W295" s="44"/>
      <c r="X295" s="44"/>
      <c r="Y295" s="44"/>
      <c r="Z295" s="44"/>
      <c r="AA295" s="44"/>
      <c r="AB295" s="44"/>
      <c r="AC295" s="52"/>
    </row>
    <row r="296" spans="1:29" ht="12.75">
      <c r="A296" s="75" t="s">
        <v>122</v>
      </c>
      <c r="B296" s="69">
        <f>SUM(B297:B308)</f>
        <v>838106.88</v>
      </c>
      <c r="C296" s="70">
        <f>SUM(C297:C308)</f>
        <v>85417.97</v>
      </c>
      <c r="D296" s="69">
        <f aca="true" t="shared" si="99" ref="D296:M296">SUM(D297:D308)</f>
        <v>841143.1399999999</v>
      </c>
      <c r="E296" s="70">
        <f t="shared" si="99"/>
        <v>76140.7</v>
      </c>
      <c r="F296" s="69">
        <f t="shared" si="99"/>
        <v>844190.7799999999</v>
      </c>
      <c r="G296" s="70">
        <f t="shared" si="99"/>
        <v>83170.09</v>
      </c>
      <c r="H296" s="69">
        <f t="shared" si="99"/>
        <v>847249.1000000001</v>
      </c>
      <c r="I296" s="70">
        <f t="shared" si="99"/>
        <v>79386.18</v>
      </c>
      <c r="J296" s="69">
        <f t="shared" si="99"/>
        <v>850318.8700000001</v>
      </c>
      <c r="K296" s="70">
        <f t="shared" si="99"/>
        <v>80885.28</v>
      </c>
      <c r="L296" s="69">
        <f t="shared" si="99"/>
        <v>853399.39</v>
      </c>
      <c r="M296" s="70">
        <f t="shared" si="99"/>
        <v>77156.71</v>
      </c>
      <c r="N296" s="69">
        <f aca="true" t="shared" si="100" ref="N296:N309">B296+D296+F296+H296+J296+L296</f>
        <v>5074408.159999999</v>
      </c>
      <c r="O296" s="70">
        <f aca="true" t="shared" si="101" ref="O296:O309">C296+E296+G296+I296+K296+M296</f>
        <v>482156.93</v>
      </c>
      <c r="P296" s="69">
        <f aca="true" t="shared" si="102" ref="P296:AA296">SUM(P297:P308)</f>
        <v>856491.46</v>
      </c>
      <c r="Q296" s="70">
        <f t="shared" si="102"/>
        <v>78562.51000000001</v>
      </c>
      <c r="R296" s="69">
        <f t="shared" si="102"/>
        <v>859594.32</v>
      </c>
      <c r="S296" s="70">
        <f t="shared" si="102"/>
        <v>77386.98999999999</v>
      </c>
      <c r="T296" s="69">
        <f t="shared" si="102"/>
        <v>862708.8400000001</v>
      </c>
      <c r="U296" s="70">
        <f t="shared" si="102"/>
        <v>73743.90999999999</v>
      </c>
      <c r="V296" s="69">
        <f t="shared" si="102"/>
        <v>865834.2199999999</v>
      </c>
      <c r="W296" s="70">
        <f t="shared" si="102"/>
        <v>75007.30000000002</v>
      </c>
      <c r="X296" s="69">
        <f t="shared" si="102"/>
        <v>868971.3299999998</v>
      </c>
      <c r="Y296" s="70">
        <f t="shared" si="102"/>
        <v>71422.24</v>
      </c>
      <c r="Z296" s="69">
        <f t="shared" si="102"/>
        <v>872119.4099999999</v>
      </c>
      <c r="AA296" s="70">
        <f t="shared" si="102"/>
        <v>72589.03</v>
      </c>
      <c r="AB296" s="69">
        <f aca="true" t="shared" si="103" ref="AB296:AB309">+N296+P296+R296+T296+V296+X296+Z296</f>
        <v>10260127.74</v>
      </c>
      <c r="AC296" s="70">
        <f aca="true" t="shared" si="104" ref="AC296:AC309">O296+Q296+S296+U296+W296+Y296+AA296</f>
        <v>930868.91</v>
      </c>
    </row>
    <row r="297" spans="1:29" ht="12.75">
      <c r="A297" s="34" t="s">
        <v>1</v>
      </c>
      <c r="B297" s="67">
        <f>'[24]Flujo Vencimientos'!B$17</f>
        <v>90429.46</v>
      </c>
      <c r="C297" s="68">
        <f>'[24]Flujo Vencimientos'!C$17</f>
        <v>9216.35</v>
      </c>
      <c r="D297" s="67">
        <f>'[24]Flujo Vencimientos'!D$17</f>
        <v>90757.02</v>
      </c>
      <c r="E297" s="68">
        <f>'[24]Flujo Vencimientos'!E$17</f>
        <v>8215.39</v>
      </c>
      <c r="F297" s="67">
        <f>'[24]Flujo Vencimientos'!F$17</f>
        <v>91085.89</v>
      </c>
      <c r="G297" s="68">
        <f>'[24]Flujo Vencimientos'!G$17</f>
        <v>8973.82</v>
      </c>
      <c r="H297" s="67">
        <f>'[24]Flujo Vencimientos'!H$17</f>
        <v>91415.83</v>
      </c>
      <c r="I297" s="68">
        <f>'[24]Flujo Vencimientos'!I$17</f>
        <v>8565.52</v>
      </c>
      <c r="J297" s="67">
        <f>'[24]Flujo Vencimientos'!J$17</f>
        <v>91747.1</v>
      </c>
      <c r="K297" s="68">
        <f>'[24]Flujo Vencimientos'!K$17</f>
        <v>8727.289999999999</v>
      </c>
      <c r="L297" s="67">
        <f>'[24]Flujo Vencimientos'!L$17</f>
        <v>92079.43000000001</v>
      </c>
      <c r="M297" s="68">
        <f>'[24]Flujo Vencimientos'!M$17</f>
        <v>8324.99</v>
      </c>
      <c r="N297" s="73">
        <f t="shared" si="100"/>
        <v>547514.7300000001</v>
      </c>
      <c r="O297" s="74">
        <f t="shared" si="101"/>
        <v>52023.36</v>
      </c>
      <c r="P297" s="67">
        <f>'[24]Flujo Vencimientos'!N$17</f>
        <v>92413.1</v>
      </c>
      <c r="Q297" s="68">
        <f>'[24]Flujo Vencimientos'!O$17</f>
        <v>8476.7</v>
      </c>
      <c r="R297" s="67">
        <f>'[24]Flujo Vencimientos'!P$17</f>
        <v>92747.85</v>
      </c>
      <c r="S297" s="68">
        <f>'[24]Flujo Vencimientos'!Q$17</f>
        <v>8349.869999999999</v>
      </c>
      <c r="T297" s="67">
        <f>'[24]Flujo Vencimientos'!R$17</f>
        <v>93083.94</v>
      </c>
      <c r="U297" s="68">
        <f>'[24]Flujo Vencimientos'!S$17</f>
        <v>7956.7300000000005</v>
      </c>
      <c r="V297" s="67">
        <f>'[24]Flujo Vencimientos'!T$17</f>
        <v>93421.12000000001</v>
      </c>
      <c r="W297" s="68">
        <f>'[24]Flujo Vencimientos'!U$17</f>
        <v>8093.060000000001</v>
      </c>
      <c r="X297" s="67">
        <f>'[24]Flujo Vencimientos'!V$17</f>
        <v>93759.65</v>
      </c>
      <c r="Y297" s="68">
        <f>'[24]Flujo Vencimientos'!W$17</f>
        <v>7706.26</v>
      </c>
      <c r="Z297" s="67">
        <f>'[24]Flujo Vencimientos'!X$17</f>
        <v>94099.27</v>
      </c>
      <c r="AA297" s="68">
        <f>'[24]Flujo Vencimientos'!Y$17</f>
        <v>7832.14</v>
      </c>
      <c r="AB297" s="73">
        <f t="shared" si="103"/>
        <v>1107039.6600000001</v>
      </c>
      <c r="AC297" s="74">
        <f t="shared" si="104"/>
        <v>100438.11999999998</v>
      </c>
    </row>
    <row r="298" spans="1:29" ht="12.75">
      <c r="A298" s="34" t="s">
        <v>21</v>
      </c>
      <c r="B298" s="67">
        <f>'[26]Flujo de Vencimientos'!B$17</f>
        <v>54730.369999999995</v>
      </c>
      <c r="C298" s="68">
        <f>'[26]Flujo de Vencimientos'!C$17</f>
        <v>5577.9800000000005</v>
      </c>
      <c r="D298" s="67">
        <f>'[26]Flujo de Vencimientos'!D$17</f>
        <v>54928.659999999996</v>
      </c>
      <c r="E298" s="68">
        <f>'[26]Flujo de Vencimientos'!E$17</f>
        <v>4972.17</v>
      </c>
      <c r="F298" s="67">
        <f>'[26]Flujo de Vencimientos'!F$17</f>
        <v>55127.659999999996</v>
      </c>
      <c r="G298" s="68">
        <f>'[26]Flujo de Vencimientos'!G$17</f>
        <v>5431.179999999999</v>
      </c>
      <c r="H298" s="67">
        <f>'[26]Flujo de Vencimientos'!H$17</f>
        <v>55327.39</v>
      </c>
      <c r="I298" s="68">
        <f>'[26]Flujo de Vencimientos'!I$17</f>
        <v>5184.1</v>
      </c>
      <c r="J298" s="67">
        <f>'[26]Flujo de Vencimientos'!J$17</f>
        <v>55527.84</v>
      </c>
      <c r="K298" s="68">
        <f>'[26]Flujo de Vencimientos'!K$17</f>
        <v>5282.02</v>
      </c>
      <c r="L298" s="67">
        <f>'[26]Flujo de Vencimientos'!L$17</f>
        <v>55729.02</v>
      </c>
      <c r="M298" s="68">
        <f>'[26]Flujo de Vencimientos'!M$17</f>
        <v>5038.540000000001</v>
      </c>
      <c r="N298" s="73">
        <f t="shared" si="100"/>
        <v>331370.94000000006</v>
      </c>
      <c r="O298" s="74">
        <f t="shared" si="101"/>
        <v>31485.99</v>
      </c>
      <c r="P298" s="67">
        <f>'[26]Flujo de Vencimientos'!N$17</f>
        <v>55930.93</v>
      </c>
      <c r="Q298" s="68">
        <f>'[26]Flujo de Vencimientos'!O$17</f>
        <v>5130.34</v>
      </c>
      <c r="R298" s="67">
        <f>'[26]Flujo de Vencimientos'!P$17</f>
        <v>56133.56</v>
      </c>
      <c r="S298" s="68">
        <f>'[26]Flujo de Vencimientos'!Q$17</f>
        <v>5053.54</v>
      </c>
      <c r="T298" s="67">
        <f>'[26]Flujo de Vencimientos'!R$17</f>
        <v>56336.939999999995</v>
      </c>
      <c r="U298" s="68">
        <f>'[26]Flujo de Vencimientos'!S$17</f>
        <v>4815.68</v>
      </c>
      <c r="V298" s="67">
        <f>'[26]Flujo de Vencimientos'!T$17</f>
        <v>56541.04</v>
      </c>
      <c r="W298" s="68">
        <f>'[26]Flujo de Vencimientos'!U$17</f>
        <v>4898.129999999999</v>
      </c>
      <c r="X298" s="67">
        <f>'[26]Flujo de Vencimientos'!V$17</f>
        <v>56745.89</v>
      </c>
      <c r="Y298" s="68">
        <f>'[26]Flujo de Vencimientos'!W$17</f>
        <v>4664.04</v>
      </c>
      <c r="Z298" s="67">
        <f>'[26]Flujo de Vencimientos'!X$17</f>
        <v>56951.479999999996</v>
      </c>
      <c r="AA298" s="68">
        <f>'[26]Flujo de Vencimientos'!Y$17</f>
        <v>4740.2699999999995</v>
      </c>
      <c r="AB298" s="73">
        <f t="shared" si="103"/>
        <v>670010.78</v>
      </c>
      <c r="AC298" s="74">
        <f t="shared" si="104"/>
        <v>60787.99</v>
      </c>
    </row>
    <row r="299" spans="1:29" ht="12.75">
      <c r="A299" s="34" t="s">
        <v>22</v>
      </c>
      <c r="B299" s="67">
        <f>'[41]Flujo Vencimientos'!B$17</f>
        <v>86103.58</v>
      </c>
      <c r="C299" s="67">
        <f>'[41]Flujo Vencimientos'!C$17</f>
        <v>8775.460000000001</v>
      </c>
      <c r="D299" s="67">
        <f>'[41]Flujo Vencimientos'!D$17</f>
        <v>86415.47</v>
      </c>
      <c r="E299" s="67">
        <f>'[41]Flujo Vencimientos'!E$17</f>
        <v>7822.37</v>
      </c>
      <c r="F299" s="67">
        <f>'[41]Flujo Vencimientos'!F$17</f>
        <v>86728.62000000001</v>
      </c>
      <c r="G299" s="67">
        <f>'[41]Flujo Vencimientos'!G$17</f>
        <v>8544.53</v>
      </c>
      <c r="H299" s="67">
        <f>'[41]Flujo Vencimientos'!H$17</f>
        <v>87042.76999999999</v>
      </c>
      <c r="I299" s="67">
        <f>'[41]Flujo Vencimientos'!I$17</f>
        <v>8155.81</v>
      </c>
      <c r="J299" s="67">
        <f>'[41]Flujo Vencimientos'!J$17</f>
        <v>87358.19</v>
      </c>
      <c r="K299" s="67">
        <f>'[41]Flujo Vencimientos'!K$17</f>
        <v>8309.79</v>
      </c>
      <c r="L299" s="67">
        <f>'[41]Flujo Vencimientos'!L$17</f>
        <v>87674.62999999999</v>
      </c>
      <c r="M299" s="67">
        <f>'[41]Flujo Vencimientos'!M$17</f>
        <v>7926.76</v>
      </c>
      <c r="N299" s="73">
        <f t="shared" si="100"/>
        <v>521323.25999999995</v>
      </c>
      <c r="O299" s="74">
        <f t="shared" si="101"/>
        <v>49534.72</v>
      </c>
      <c r="P299" s="67">
        <f>'[41]Flujo Vencimientos'!N$17</f>
        <v>87992.34000000001</v>
      </c>
      <c r="Q299" s="68">
        <f>'[41]Flujo Vencimientos'!O$17</f>
        <v>8071.18</v>
      </c>
      <c r="R299" s="67">
        <f>'[41]Flujo Vencimientos'!P$17</f>
        <v>88311.06999999999</v>
      </c>
      <c r="S299" s="68">
        <f>'[41]Flujo Vencimientos'!Q$17</f>
        <v>7950.42</v>
      </c>
      <c r="T299" s="67">
        <f>'[41]Flujo Vencimientos'!R$17</f>
        <v>88631.08</v>
      </c>
      <c r="U299" s="68">
        <f>'[41]Flujo Vencimientos'!S$17</f>
        <v>7576.13</v>
      </c>
      <c r="V299" s="67">
        <f>'[41]Flujo Vencimientos'!T$17</f>
        <v>88952.12999999999</v>
      </c>
      <c r="W299" s="68">
        <f>'[41]Flujo Vencimientos'!U$17</f>
        <v>7705.95</v>
      </c>
      <c r="X299" s="67">
        <f>'[41]Flujo Vencimientos'!V$17</f>
        <v>89274.47</v>
      </c>
      <c r="Y299" s="68">
        <f>'[41]Flujo Vencimientos'!W$17</f>
        <v>7337.62</v>
      </c>
      <c r="Z299" s="67">
        <f>'[41]Flujo Vencimientos'!X$17</f>
        <v>89597.84</v>
      </c>
      <c r="AA299" s="68">
        <f>'[41]Flujo Vencimientos'!Y$17</f>
        <v>7457.51</v>
      </c>
      <c r="AB299" s="73">
        <f t="shared" si="103"/>
        <v>1054082.19</v>
      </c>
      <c r="AC299" s="74">
        <f t="shared" si="104"/>
        <v>95633.53</v>
      </c>
    </row>
    <row r="300" spans="1:29" ht="12.75">
      <c r="A300" s="34" t="s">
        <v>16</v>
      </c>
      <c r="B300" s="67">
        <f>'[39]Flujo Vencimiento'!B$17</f>
        <v>184511.54</v>
      </c>
      <c r="C300" s="68">
        <f>'[39]Flujo Vencimiento'!C$17</f>
        <v>18805.03</v>
      </c>
      <c r="D300" s="67">
        <f>'[39]Flujo Vencimiento'!D$17</f>
        <v>185179.96</v>
      </c>
      <c r="E300" s="68">
        <f>'[39]Flujo Vencimiento'!E$17</f>
        <v>16762.6</v>
      </c>
      <c r="F300" s="67">
        <f>'[39]Flujo Vencimiento'!F$17</f>
        <v>185850.93</v>
      </c>
      <c r="G300" s="68">
        <f>'[39]Flujo Vencimiento'!G$17</f>
        <v>18310.149999999998</v>
      </c>
      <c r="H300" s="67">
        <f>'[39]Flujo Vencimiento'!H$17</f>
        <v>186524.21</v>
      </c>
      <c r="I300" s="68">
        <f>'[39]Flujo Vencimiento'!I$17</f>
        <v>17477.08</v>
      </c>
      <c r="J300" s="67">
        <f>'[39]Flujo Vencimiento'!J$17</f>
        <v>187200.05000000002</v>
      </c>
      <c r="K300" s="68">
        <f>'[39]Flujo Vencimiento'!K$17</f>
        <v>17807.09</v>
      </c>
      <c r="L300" s="67">
        <f>'[39]Flujo Vencimiento'!L$17</f>
        <v>187878.21</v>
      </c>
      <c r="M300" s="68">
        <f>'[39]Flujo Vencimiento'!M$17</f>
        <v>16986.260000000002</v>
      </c>
      <c r="N300" s="73">
        <f t="shared" si="100"/>
        <v>1117144.9</v>
      </c>
      <c r="O300" s="74">
        <f t="shared" si="101"/>
        <v>106148.20999999999</v>
      </c>
      <c r="P300" s="67">
        <f>'[39]Flujo Vencimiento'!N$17</f>
        <v>188558.96</v>
      </c>
      <c r="Q300" s="68">
        <f>'[39]Flujo Vencimiento'!O$17</f>
        <v>17295.77</v>
      </c>
      <c r="R300" s="67">
        <f>'[39]Flujo Vencimiento'!P$17</f>
        <v>189242.04</v>
      </c>
      <c r="S300" s="68">
        <f>'[39]Flujo Vencimiento'!Q$17</f>
        <v>17036.98</v>
      </c>
      <c r="T300" s="67">
        <f>'[39]Flujo Vencimiento'!R$17</f>
        <v>189927.73</v>
      </c>
      <c r="U300" s="68">
        <f>'[39]Flujo Vencimiento'!S$17</f>
        <v>16234.92</v>
      </c>
      <c r="V300" s="67">
        <f>'[39]Flujo Vencimiento'!T$17</f>
        <v>190615.77</v>
      </c>
      <c r="W300" s="68">
        <f>'[39]Flujo Vencimiento'!U$17</f>
        <v>16513.08</v>
      </c>
      <c r="X300" s="67">
        <f>'[39]Flujo Vencimiento'!V$17</f>
        <v>191306.44</v>
      </c>
      <c r="Y300" s="68">
        <f>'[39]Flujo Vencimiento'!W$17</f>
        <v>15723.82</v>
      </c>
      <c r="Z300" s="67">
        <f>'[39]Flujo Vencimiento'!X$17</f>
        <v>191999.47999999998</v>
      </c>
      <c r="AA300" s="68">
        <f>'[39]Flujo Vencimiento'!Y$17</f>
        <v>15980.67</v>
      </c>
      <c r="AB300" s="73">
        <f t="shared" si="103"/>
        <v>2258795.32</v>
      </c>
      <c r="AC300" s="74">
        <f t="shared" si="104"/>
        <v>204933.45000000004</v>
      </c>
    </row>
    <row r="301" spans="1:29" ht="12.75">
      <c r="A301" s="34" t="s">
        <v>15</v>
      </c>
      <c r="B301" s="67">
        <f>'[36]Flujo de Vencimientos'!B$17</f>
        <v>18029.989999999998</v>
      </c>
      <c r="C301" s="68">
        <f>'[36]Flujo de Vencimientos'!C$17</f>
        <v>1837.56</v>
      </c>
      <c r="D301" s="67">
        <f>'[36]Flujo de Vencimientos'!D$17</f>
        <v>18095.38</v>
      </c>
      <c r="E301" s="68">
        <f>'[36]Flujo de Vencimientos'!E$17</f>
        <v>1638</v>
      </c>
      <c r="F301" s="67">
        <f>'[36]Flujo de Vencimientos'!F$17</f>
        <v>18160.870000000003</v>
      </c>
      <c r="G301" s="68">
        <f>'[36]Flujo de Vencimientos'!G$17</f>
        <v>1789.2199999999998</v>
      </c>
      <c r="H301" s="67">
        <f>'[36]Flujo de Vencimientos'!H$17</f>
        <v>18226.73</v>
      </c>
      <c r="I301" s="68">
        <f>'[36]Flujo de Vencimientos'!I$17</f>
        <v>1707.85</v>
      </c>
      <c r="J301" s="67">
        <f>'[36]Flujo de Vencimientos'!J$17</f>
        <v>18292.7</v>
      </c>
      <c r="K301" s="68">
        <f>'[36]Flujo de Vencimientos'!K$17</f>
        <v>1740.0900000000001</v>
      </c>
      <c r="L301" s="67">
        <f>'[36]Flujo de Vencimientos'!L$17</f>
        <v>18359.04</v>
      </c>
      <c r="M301" s="68">
        <f>'[36]Flujo de Vencimientos'!M$17</f>
        <v>1659.8799999999999</v>
      </c>
      <c r="N301" s="73">
        <f t="shared" si="100"/>
        <v>109164.70999999999</v>
      </c>
      <c r="O301" s="74">
        <f t="shared" si="101"/>
        <v>10372.599999999999</v>
      </c>
      <c r="P301" s="67">
        <f>'[36]Flujo de Vencimientos'!N$17</f>
        <v>18425.489999999998</v>
      </c>
      <c r="Q301" s="68">
        <f>'[36]Flujo de Vencimientos'!O$17</f>
        <v>1690.0900000000001</v>
      </c>
      <c r="R301" s="67">
        <f>'[36]Flujo de Vencimientos'!P$17</f>
        <v>18492.309999999998</v>
      </c>
      <c r="S301" s="68">
        <f>'[36]Flujo de Vencimientos'!Q$17</f>
        <v>1664.78</v>
      </c>
      <c r="T301" s="67">
        <f>'[36]Flujo de Vencimientos'!R$17</f>
        <v>18559.25</v>
      </c>
      <c r="U301" s="68">
        <f>'[36]Flujo de Vencimientos'!S$17</f>
        <v>1586.46</v>
      </c>
      <c r="V301" s="67">
        <f>'[36]Flujo de Vencimientos'!T$17</f>
        <v>18626.55</v>
      </c>
      <c r="W301" s="68">
        <f>'[36]Flujo de Vencimientos'!U$17</f>
        <v>1613.6200000000001</v>
      </c>
      <c r="X301" s="67">
        <f>'[36]Flujo de Vencimientos'!V$17</f>
        <v>18693.97</v>
      </c>
      <c r="Y301" s="68">
        <f>'[36]Flujo de Vencimientos'!W$17</f>
        <v>1536.51</v>
      </c>
      <c r="Z301" s="67">
        <f>'[36]Flujo de Vencimientos'!X$17</f>
        <v>18761.76</v>
      </c>
      <c r="AA301" s="68">
        <f>'[36]Flujo de Vencimientos'!Y$17</f>
        <v>1561.6200000000001</v>
      </c>
      <c r="AB301" s="73">
        <f t="shared" si="103"/>
        <v>220724.03999999998</v>
      </c>
      <c r="AC301" s="74">
        <f t="shared" si="104"/>
        <v>20025.679999999997</v>
      </c>
    </row>
    <row r="302" spans="1:29" ht="12.75">
      <c r="A302" s="34" t="s">
        <v>14</v>
      </c>
      <c r="B302" s="67">
        <f>'[34]Flujo de Vencimiento'!B$17</f>
        <v>11703.6</v>
      </c>
      <c r="C302" s="68">
        <f>'[34]Flujo de Vencimiento'!C$17</f>
        <v>1192.82</v>
      </c>
      <c r="D302" s="67">
        <f>'[34]Flujo de Vencimiento'!D$17</f>
        <v>11745.939999999999</v>
      </c>
      <c r="E302" s="68">
        <f>'[34]Flujo de Vencimiento'!E$17</f>
        <v>1063.28</v>
      </c>
      <c r="F302" s="67">
        <f>'[34]Flujo de Vencimiento'!F$17</f>
        <v>11788.56</v>
      </c>
      <c r="G302" s="68">
        <f>'[34]Flujo de Vencimiento'!G$17</f>
        <v>1161.44</v>
      </c>
      <c r="H302" s="67">
        <f>'[34]Flujo de Vencimiento'!H$17</f>
        <v>11831.21</v>
      </c>
      <c r="I302" s="68">
        <f>'[34]Flujo de Vencimiento'!I$17</f>
        <v>1108.58</v>
      </c>
      <c r="J302" s="67">
        <f>'[34]Flujo de Vencimiento'!J$17</f>
        <v>11874.14</v>
      </c>
      <c r="K302" s="68">
        <f>'[34]Flujo de Vencimiento'!K$17</f>
        <v>1129.48</v>
      </c>
      <c r="L302" s="67">
        <f>'[34]Flujo de Vencimiento'!L$17</f>
        <v>11917.09</v>
      </c>
      <c r="M302" s="68">
        <f>'[34]Flujo de Vencimiento'!M$17</f>
        <v>1077.4299999999998</v>
      </c>
      <c r="N302" s="73">
        <f t="shared" si="100"/>
        <v>70860.54</v>
      </c>
      <c r="O302" s="74">
        <f t="shared" si="101"/>
        <v>6733.030000000001</v>
      </c>
      <c r="P302" s="67">
        <f>'[34]Flujo de Vencimiento'!N$17</f>
        <v>11960.33</v>
      </c>
      <c r="Q302" s="68">
        <f>'[34]Flujo de Vencimiento'!O$17</f>
        <v>1097.06</v>
      </c>
      <c r="R302" s="67">
        <f>'[34]Flujo de Vencimiento'!P$17</f>
        <v>12003.599999999999</v>
      </c>
      <c r="S302" s="68">
        <f>'[34]Flujo de Vencimiento'!Q$17</f>
        <v>1080.68</v>
      </c>
      <c r="T302" s="67">
        <f>'[34]Flujo de Vencimiento'!R$17</f>
        <v>12047.15</v>
      </c>
      <c r="U302" s="68">
        <f>'[34]Flujo de Vencimiento'!S$17</f>
        <v>1029.78</v>
      </c>
      <c r="V302" s="67">
        <f>'[34]Flujo de Vencimiento'!T$17</f>
        <v>12090.73</v>
      </c>
      <c r="W302" s="68">
        <f>'[34]Flujo de Vencimiento'!U$17</f>
        <v>1047.39</v>
      </c>
      <c r="X302" s="67">
        <f>'[34]Flujo de Vencimiento'!V$17</f>
        <v>12134.6</v>
      </c>
      <c r="Y302" s="68">
        <f>'[34]Flujo de Vencimiento'!W$17</f>
        <v>997.3399999999999</v>
      </c>
      <c r="Z302" s="67">
        <f>'[34]Flujo de Vencimiento'!X$17</f>
        <v>12178.5</v>
      </c>
      <c r="AA302" s="68">
        <f>'[34]Flujo de Vencimiento'!Y$17</f>
        <v>1013.63</v>
      </c>
      <c r="AB302" s="73">
        <f t="shared" si="103"/>
        <v>143275.44999999998</v>
      </c>
      <c r="AC302" s="74">
        <f t="shared" si="104"/>
        <v>12998.91</v>
      </c>
    </row>
    <row r="303" spans="1:29" ht="12.75">
      <c r="A303" s="34" t="s">
        <v>13</v>
      </c>
      <c r="B303" s="67">
        <f>'[32]Flujo de Vencimientos'!B$17</f>
        <v>43415.16</v>
      </c>
      <c r="C303" s="68">
        <f>'[32]Flujo de Vencimientos'!C$17</f>
        <v>4424.78</v>
      </c>
      <c r="D303" s="67">
        <f>'[32]Flujo de Vencimientos'!D$17</f>
        <v>43572.520000000004</v>
      </c>
      <c r="E303" s="68">
        <f>'[32]Flujo de Vencimientos'!E$17</f>
        <v>3944.1800000000003</v>
      </c>
      <c r="F303" s="67">
        <f>'[32]Flujo de Vencimientos'!F$17</f>
        <v>43730.32</v>
      </c>
      <c r="G303" s="68">
        <f>'[32]Flujo de Vencimientos'!G$17</f>
        <v>4308.32</v>
      </c>
      <c r="H303" s="67">
        <f>'[32]Flujo de Vencimientos'!H$17</f>
        <v>43888.82</v>
      </c>
      <c r="I303" s="68">
        <f>'[32]Flujo de Vencimientos'!I$17</f>
        <v>4112.34</v>
      </c>
      <c r="J303" s="67">
        <f>'[32]Flujo de Vencimientos'!J$17</f>
        <v>44047.76</v>
      </c>
      <c r="K303" s="68">
        <f>'[32]Flujo de Vencimientos'!K$17</f>
        <v>4190</v>
      </c>
      <c r="L303" s="67">
        <f>'[32]Flujo de Vencimientos'!L$17</f>
        <v>44207.41</v>
      </c>
      <c r="M303" s="68">
        <f>'[32]Flujo de Vencimientos'!M$17</f>
        <v>3996.8500000000004</v>
      </c>
      <c r="N303" s="73">
        <f t="shared" si="100"/>
        <v>262861.99</v>
      </c>
      <c r="O303" s="74">
        <f t="shared" si="101"/>
        <v>24976.47</v>
      </c>
      <c r="P303" s="67">
        <f>'[32]Flujo de Vencimientos'!N$17</f>
        <v>44367.51</v>
      </c>
      <c r="Q303" s="68">
        <f>'[32]Flujo de Vencimientos'!O$17</f>
        <v>4069.6700000000005</v>
      </c>
      <c r="R303" s="67">
        <f>'[32]Flujo de Vencimientos'!P$17</f>
        <v>44528.32</v>
      </c>
      <c r="S303" s="68">
        <f>'[32]Flujo de Vencimientos'!Q$17</f>
        <v>4008.7399999999993</v>
      </c>
      <c r="T303" s="67">
        <f>'[32]Flujo de Vencimientos'!R$17</f>
        <v>44689.58</v>
      </c>
      <c r="U303" s="68">
        <f>'[32]Flujo de Vencimientos'!S$17</f>
        <v>3820.0299999999997</v>
      </c>
      <c r="V303" s="67">
        <f>'[32]Flujo de Vencimientos'!T$17</f>
        <v>44851.560000000005</v>
      </c>
      <c r="W303" s="68">
        <f>'[32]Flujo de Vencimientos'!U$17</f>
        <v>3885.5099999999998</v>
      </c>
      <c r="X303" s="67">
        <f>'[32]Flujo de Vencimientos'!V$17</f>
        <v>45013.99</v>
      </c>
      <c r="Y303" s="68">
        <f>'[32]Flujo de Vencimientos'!W$17</f>
        <v>3699.7700000000004</v>
      </c>
      <c r="Z303" s="67">
        <f>'[32]Flujo de Vencimientos'!X$17</f>
        <v>45177.14</v>
      </c>
      <c r="AA303" s="68">
        <f>'[32]Flujo de Vencimientos'!Y$17</f>
        <v>3760.2200000000003</v>
      </c>
      <c r="AB303" s="73">
        <f t="shared" si="103"/>
        <v>531490.09</v>
      </c>
      <c r="AC303" s="74">
        <f t="shared" si="104"/>
        <v>48220.41</v>
      </c>
    </row>
    <row r="304" spans="1:29" ht="12.75">
      <c r="A304" s="34" t="s">
        <v>84</v>
      </c>
      <c r="B304" s="67">
        <f>'[18]Flujo Vencimientos'!B$17</f>
        <v>40501.34</v>
      </c>
      <c r="C304" s="68">
        <f>'[18]Flujo Vencimientos'!C$17</f>
        <v>4127.81</v>
      </c>
      <c r="D304" s="67">
        <f>'[18]Flujo Vencimientos'!D$17</f>
        <v>40648.07</v>
      </c>
      <c r="E304" s="68">
        <f>'[18]Flujo Vencimientos'!E$17</f>
        <v>3679.48</v>
      </c>
      <c r="F304" s="67">
        <f>'[18]Flujo Vencimientos'!F$17</f>
        <v>40795.34</v>
      </c>
      <c r="G304" s="68">
        <f>'[18]Flujo Vencimientos'!G$17</f>
        <v>4019.19</v>
      </c>
      <c r="H304" s="67">
        <f>'[18]Flujo Vencimientos'!H$17</f>
        <v>40943.14</v>
      </c>
      <c r="I304" s="68">
        <f>'[18]Flujo Vencimientos'!I$17</f>
        <v>3836.32</v>
      </c>
      <c r="J304" s="67">
        <f>'[18]Flujo Vencimientos'!J$17</f>
        <v>41091.479999999996</v>
      </c>
      <c r="K304" s="68">
        <f>'[18]Flujo Vencimientos'!K$17</f>
        <v>3908.7700000000004</v>
      </c>
      <c r="L304" s="67">
        <f>'[18]Flujo Vencimientos'!L$17</f>
        <v>41240.35</v>
      </c>
      <c r="M304" s="68">
        <f>'[18]Flujo Vencimientos'!M$17</f>
        <v>3728.55</v>
      </c>
      <c r="N304" s="83">
        <f t="shared" si="100"/>
        <v>245219.72</v>
      </c>
      <c r="O304" s="74">
        <f t="shared" si="101"/>
        <v>23300.12</v>
      </c>
      <c r="P304" s="67">
        <f>'[18]Flujo Vencimientos'!N$17</f>
        <v>41389.77</v>
      </c>
      <c r="Q304" s="68">
        <f>'[18]Flujo Vencimientos'!O$17</f>
        <v>3796.54</v>
      </c>
      <c r="R304" s="67">
        <f>'[18]Flujo Vencimientos'!P$17</f>
        <v>41539.72</v>
      </c>
      <c r="S304" s="68">
        <f>'[18]Flujo Vencimientos'!Q$17</f>
        <v>3739.71</v>
      </c>
      <c r="T304" s="67">
        <f>'[18]Flujo Vencimientos'!R$17</f>
        <v>41690.22</v>
      </c>
      <c r="U304" s="68">
        <f>'[18]Flujo Vencimientos'!S$17</f>
        <v>3563.67</v>
      </c>
      <c r="V304" s="67">
        <f>'[18]Flujo Vencimientos'!T$17</f>
        <v>41841.26</v>
      </c>
      <c r="W304" s="68">
        <f>'[18]Flujo Vencimientos'!U$17</f>
        <v>3624.72</v>
      </c>
      <c r="X304" s="67">
        <f>'[18]Flujo Vencimientos'!V$17</f>
        <v>41992.85</v>
      </c>
      <c r="Y304" s="68">
        <f>'[18]Flujo Vencimientos'!W$17</f>
        <v>3451.44</v>
      </c>
      <c r="Z304" s="67">
        <f>'[18]Flujo Vencimientos'!X$17</f>
        <v>42144.99</v>
      </c>
      <c r="AA304" s="68">
        <f>'[18]Flujo Vencimientos'!Y$17</f>
        <v>3507.86</v>
      </c>
      <c r="AB304" s="73">
        <f t="shared" si="103"/>
        <v>495818.5299999999</v>
      </c>
      <c r="AC304" s="74">
        <f t="shared" si="104"/>
        <v>44984.060000000005</v>
      </c>
    </row>
    <row r="305" spans="1:29" ht="12.75">
      <c r="A305" s="34" t="s">
        <v>105</v>
      </c>
      <c r="B305" s="67">
        <f>'[11]Flujo Vencimientos'!B$17</f>
        <v>64772.689999999995</v>
      </c>
      <c r="C305" s="68">
        <f>'[11]Flujo Vencimientos'!C$17</f>
        <v>6601.5</v>
      </c>
      <c r="D305" s="67">
        <f>'[11]Flujo Vencimientos'!D$17</f>
        <v>65007.36000000001</v>
      </c>
      <c r="E305" s="68">
        <f>'[11]Flujo Vencimientos'!E$17</f>
        <v>5884.5</v>
      </c>
      <c r="F305" s="67">
        <f>'[11]Flujo Vencimientos'!F$17</f>
        <v>65242.88</v>
      </c>
      <c r="G305" s="68">
        <f>'[11]Flujo Vencimientos'!G$17</f>
        <v>6427.78</v>
      </c>
      <c r="H305" s="67">
        <f>'[11]Flujo Vencimientos'!H$17</f>
        <v>65479.24999999999</v>
      </c>
      <c r="I305" s="68">
        <f>'[11]Flujo Vencimientos'!I$17</f>
        <v>6135.31</v>
      </c>
      <c r="J305" s="67">
        <f>'[11]Flujo Vencimientos'!J$17</f>
        <v>65716.48</v>
      </c>
      <c r="K305" s="68">
        <f>'[11]Flujo Vencimientos'!K$17</f>
        <v>6251.2</v>
      </c>
      <c r="L305" s="67">
        <f>'[11]Flujo Vencimientos'!L$17</f>
        <v>65954.58</v>
      </c>
      <c r="M305" s="68">
        <f>'[11]Flujo Vencimientos'!M$17</f>
        <v>5963.02</v>
      </c>
      <c r="N305" s="73">
        <f t="shared" si="100"/>
        <v>392173.24</v>
      </c>
      <c r="O305" s="84">
        <f t="shared" si="101"/>
        <v>37263.31</v>
      </c>
      <c r="P305" s="67">
        <f>'[11]Flujo Vencimientos'!N$17</f>
        <v>66193.53</v>
      </c>
      <c r="Q305" s="68">
        <f>'[11]Flujo Vencimientos'!O$17</f>
        <v>6071.65</v>
      </c>
      <c r="R305" s="67">
        <f>'[11]Flujo Vencimientos'!P$17</f>
        <v>66433.35</v>
      </c>
      <c r="S305" s="68">
        <f>'[11]Flujo Vencimientos'!Q$17</f>
        <v>5980.8</v>
      </c>
      <c r="T305" s="67">
        <f>'[11]Flujo Vencimientos'!R$17</f>
        <v>66674.04000000001</v>
      </c>
      <c r="U305" s="68">
        <f>'[11]Flujo Vencimientos'!S$17</f>
        <v>5699.24</v>
      </c>
      <c r="V305" s="67">
        <f>'[11]Flujo Vencimientos'!T$17</f>
        <v>66915.6</v>
      </c>
      <c r="W305" s="68">
        <f>'[11]Flujo Vencimientos'!U$17</f>
        <v>5796.9</v>
      </c>
      <c r="X305" s="67">
        <f>'[11]Flujo Vencimientos'!V$17</f>
        <v>67158.03</v>
      </c>
      <c r="Y305" s="68">
        <f>'[11]Flujo Vencimientos'!W$17</f>
        <v>5519.83</v>
      </c>
      <c r="Z305" s="67">
        <f>'[11]Flujo Vencimientos'!X$17</f>
        <v>67401.34</v>
      </c>
      <c r="AA305" s="68">
        <f>'[11]Flujo Vencimientos'!Y$17</f>
        <v>5610.01</v>
      </c>
      <c r="AB305" s="73">
        <f t="shared" si="103"/>
        <v>792949.13</v>
      </c>
      <c r="AC305" s="74">
        <f t="shared" si="104"/>
        <v>71941.73999999999</v>
      </c>
    </row>
    <row r="306" spans="1:29" ht="12.75">
      <c r="A306" s="34" t="s">
        <v>4</v>
      </c>
      <c r="B306" s="67">
        <f>'[9]Flujo de Vencimientos'!B$17</f>
        <v>48566.560000000005</v>
      </c>
      <c r="C306" s="68">
        <f>'[9]Flujo de Vencimientos'!C$17</f>
        <v>4949.82</v>
      </c>
      <c r="D306" s="67">
        <f>'[9]Flujo de Vencimientos'!D$17</f>
        <v>48742.579999999994</v>
      </c>
      <c r="E306" s="68">
        <f>'[9]Flujo de Vencimientos'!E$17</f>
        <v>4412.2</v>
      </c>
      <c r="F306" s="67">
        <f>'[9]Flujo de Vencimientos'!F$17</f>
        <v>48919.11</v>
      </c>
      <c r="G306" s="68">
        <f>'[9]Flujo de Vencimientos'!G$17</f>
        <v>4819.53</v>
      </c>
      <c r="H306" s="67">
        <f>'[9]Flujo de Vencimientos'!H$17</f>
        <v>49096.409999999996</v>
      </c>
      <c r="I306" s="68">
        <f>'[9]Flujo de Vencimientos'!I$17</f>
        <v>4600.26</v>
      </c>
      <c r="J306" s="67">
        <f>'[9]Flujo de Vencimientos'!J$17</f>
        <v>49274.22</v>
      </c>
      <c r="K306" s="68">
        <f>'[9]Flujo de Vencimientos'!K$17</f>
        <v>4687.14</v>
      </c>
      <c r="L306" s="67">
        <f>'[9]Flujo de Vencimientos'!L$17</f>
        <v>49452.81</v>
      </c>
      <c r="M306" s="68">
        <f>'[9]Flujo de Vencimientos'!M$17</f>
        <v>4471.05</v>
      </c>
      <c r="N306" s="73">
        <f t="shared" si="100"/>
        <v>294051.69</v>
      </c>
      <c r="O306" s="84">
        <f t="shared" si="101"/>
        <v>27939.999999999996</v>
      </c>
      <c r="P306" s="67">
        <f>'[9]Flujo de Vencimientos'!N$17</f>
        <v>49631.91</v>
      </c>
      <c r="Q306" s="68">
        <f>'[9]Flujo de Vencimientos'!O$17</f>
        <v>4552.51</v>
      </c>
      <c r="R306" s="67">
        <f>'[9]Flujo de Vencimientos'!P$17</f>
        <v>49811.78999999999</v>
      </c>
      <c r="S306" s="68">
        <f>'[9]Flujo de Vencimientos'!Q$17</f>
        <v>4484.4400000000005</v>
      </c>
      <c r="T306" s="67">
        <f>'[9]Flujo de Vencimientos'!R$17</f>
        <v>49992.200000000004</v>
      </c>
      <c r="U306" s="68">
        <f>'[9]Flujo de Vencimientos'!S$17</f>
        <v>4273.29</v>
      </c>
      <c r="V306" s="67">
        <f>'[9]Flujo de Vencimientos'!T$17</f>
        <v>50173.38</v>
      </c>
      <c r="W306" s="68">
        <f>'[9]Flujo de Vencimientos'!U$17</f>
        <v>4346.51</v>
      </c>
      <c r="X306" s="67">
        <f>'[9]Flujo de Vencimientos'!V$17</f>
        <v>50355.090000000004</v>
      </c>
      <c r="Y306" s="68">
        <f>'[9]Flujo de Vencimientos'!W$17</f>
        <v>4138.8</v>
      </c>
      <c r="Z306" s="67">
        <f>'[9]Flujo de Vencimientos'!X$17</f>
        <v>50537.6</v>
      </c>
      <c r="AA306" s="68">
        <f>'[9]Flujo de Vencimientos'!Y$17</f>
        <v>4206.4</v>
      </c>
      <c r="AB306" s="73">
        <f t="shared" si="103"/>
        <v>594553.6599999999</v>
      </c>
      <c r="AC306" s="74">
        <f t="shared" si="104"/>
        <v>53941.950000000004</v>
      </c>
    </row>
    <row r="307" spans="1:29" ht="12.75">
      <c r="A307" s="34" t="s">
        <v>10</v>
      </c>
      <c r="B307" s="67">
        <f>'[7]Flujo vencimientos'!B$17</f>
        <v>14794.71</v>
      </c>
      <c r="C307" s="68">
        <f>'[7]Flujo vencimientos'!C$17</f>
        <v>1507.81</v>
      </c>
      <c r="D307" s="67">
        <f>'[7]Flujo vencimientos'!D$17</f>
        <v>14848.240000000002</v>
      </c>
      <c r="E307" s="68">
        <f>'[7]Flujo vencimientos'!E$17</f>
        <v>1344.05</v>
      </c>
      <c r="F307" s="67">
        <f>'[7]Flujo vencimientos'!F$17</f>
        <v>14902.099999999999</v>
      </c>
      <c r="G307" s="68">
        <f>'[7]Flujo vencimientos'!G$17</f>
        <v>1468.15</v>
      </c>
      <c r="H307" s="67">
        <f>'[7]Flujo vencimientos'!H$17</f>
        <v>14956.029999999999</v>
      </c>
      <c r="I307" s="68">
        <f>'[7]Flujo vencimientos'!I$17</f>
        <v>1401.36</v>
      </c>
      <c r="J307" s="67">
        <f>'[7]Flujo vencimientos'!J$17</f>
        <v>15010.279999999999</v>
      </c>
      <c r="K307" s="68">
        <f>'[7]Flujo vencimientos'!K$17</f>
        <v>1427.8400000000001</v>
      </c>
      <c r="L307" s="67">
        <f>'[7]Flujo vencimientos'!L$17</f>
        <v>15064.599999999999</v>
      </c>
      <c r="M307" s="68">
        <f>'[7]Flujo vencimientos'!M$17</f>
        <v>1362.04</v>
      </c>
      <c r="N307" s="73">
        <f t="shared" si="100"/>
        <v>89575.95999999999</v>
      </c>
      <c r="O307" s="84">
        <f t="shared" si="101"/>
        <v>8511.25</v>
      </c>
      <c r="P307" s="67">
        <f>'[7]Flujo vencimientos'!N$17</f>
        <v>15119.24</v>
      </c>
      <c r="Q307" s="68">
        <f>'[7]Flujo vencimientos'!O$17</f>
        <v>1386.8</v>
      </c>
      <c r="R307" s="67">
        <f>'[7]Flujo vencimientos'!P$17</f>
        <v>15173.95</v>
      </c>
      <c r="S307" s="68">
        <f>'[7]Flujo vencimientos'!Q$17</f>
        <v>1366.07</v>
      </c>
      <c r="T307" s="67">
        <f>'[7]Flujo vencimientos'!R$17</f>
        <v>15228.99</v>
      </c>
      <c r="U307" s="68">
        <f>'[7]Flujo vencimientos'!S$17</f>
        <v>1301.79</v>
      </c>
      <c r="V307" s="67">
        <f>'[7]Flujo vencimientos'!T$17</f>
        <v>15284.099999999999</v>
      </c>
      <c r="W307" s="68">
        <f>'[7]Flujo vencimientos'!U$17</f>
        <v>1324.08</v>
      </c>
      <c r="X307" s="67">
        <f>'[7]Flujo vencimientos'!V$17</f>
        <v>15339.539999999999</v>
      </c>
      <c r="Y307" s="68">
        <f>'[7]Flujo vencimientos'!W$17</f>
        <v>1260.7800000000002</v>
      </c>
      <c r="Z307" s="67">
        <f>'[7]Flujo vencimientos'!X$17</f>
        <v>15395.05</v>
      </c>
      <c r="AA307" s="68">
        <f>'[7]Flujo vencimientos'!Y$17</f>
        <v>1281.35</v>
      </c>
      <c r="AB307" s="73">
        <f t="shared" si="103"/>
        <v>181116.83</v>
      </c>
      <c r="AC307" s="74">
        <f t="shared" si="104"/>
        <v>16432.12</v>
      </c>
    </row>
    <row r="308" spans="1:29" ht="13.5" thickBot="1">
      <c r="A308" s="34" t="s">
        <v>11</v>
      </c>
      <c r="B308" s="67">
        <f>'[3]Flujo Vencimientos'!B$17</f>
        <v>180547.88</v>
      </c>
      <c r="C308" s="68">
        <f>'[3]Flujo Vencimientos'!C$17</f>
        <v>18401.050000000003</v>
      </c>
      <c r="D308" s="67">
        <f>'[3]Flujo Vencimientos'!D$17</f>
        <v>181201.94</v>
      </c>
      <c r="E308" s="68">
        <f>'[3]Flujo Vencimientos'!E$17</f>
        <v>16402.48</v>
      </c>
      <c r="F308" s="67">
        <f>'[3]Flujo Vencimientos'!F$17</f>
        <v>181858.5</v>
      </c>
      <c r="G308" s="68">
        <f>'[3]Flujo Vencimientos'!G$17</f>
        <v>17916.78</v>
      </c>
      <c r="H308" s="67">
        <f>'[3]Flujo Vencimientos'!H$17</f>
        <v>182517.31</v>
      </c>
      <c r="I308" s="68">
        <f>'[3]Flujo Vencimientos'!I$17</f>
        <v>17101.65</v>
      </c>
      <c r="J308" s="67">
        <f>'[3]Flujo Vencimientos'!J$17</f>
        <v>183178.63</v>
      </c>
      <c r="K308" s="68">
        <f>'[3]Flujo Vencimientos'!K$17</f>
        <v>17424.57</v>
      </c>
      <c r="L308" s="67">
        <f>'[3]Flujo Vencimientos'!L$17</f>
        <v>183842.22</v>
      </c>
      <c r="M308" s="68">
        <f>'[3]Flujo Vencimientos'!M$17</f>
        <v>16621.34</v>
      </c>
      <c r="N308" s="73">
        <f t="shared" si="100"/>
        <v>1093146.4800000002</v>
      </c>
      <c r="O308" s="84">
        <f t="shared" si="101"/>
        <v>103867.87</v>
      </c>
      <c r="P308" s="67">
        <f>'[3]Flujo Vencimientos'!N$17</f>
        <v>184508.35</v>
      </c>
      <c r="Q308" s="68">
        <f>'[3]Flujo Vencimientos'!O$17</f>
        <v>16924.2</v>
      </c>
      <c r="R308" s="67">
        <f>'[3]Flujo Vencimientos'!P$17</f>
        <v>185176.75999999998</v>
      </c>
      <c r="S308" s="68">
        <f>'[3]Flujo Vencimientos'!Q$17</f>
        <v>16670.96</v>
      </c>
      <c r="T308" s="67">
        <f>'[3]Flujo Vencimientos'!R$17</f>
        <v>185847.72</v>
      </c>
      <c r="U308" s="68">
        <f>'[3]Flujo Vencimientos'!S$17</f>
        <v>15886.189999999999</v>
      </c>
      <c r="V308" s="67">
        <f>'[3]Flujo Vencimientos'!T$17</f>
        <v>186520.97999999998</v>
      </c>
      <c r="W308" s="68">
        <f>'[3]Flujo Vencimientos'!U$17</f>
        <v>16158.349999999999</v>
      </c>
      <c r="X308" s="67">
        <f>'[3]Flujo Vencimientos'!V$17</f>
        <v>187196.81</v>
      </c>
      <c r="Y308" s="68">
        <f>'[3]Flujo Vencimientos'!W$17</f>
        <v>15386.03</v>
      </c>
      <c r="Z308" s="67">
        <f>'[3]Flujo Vencimientos'!X$17</f>
        <v>187874.96</v>
      </c>
      <c r="AA308" s="68">
        <f>'[3]Flujo Vencimientos'!Y$17</f>
        <v>15637.349999999999</v>
      </c>
      <c r="AB308" s="73">
        <f t="shared" si="103"/>
        <v>2210272.0600000005</v>
      </c>
      <c r="AC308" s="74">
        <f t="shared" si="104"/>
        <v>200530.95</v>
      </c>
    </row>
    <row r="309" spans="1:29" s="42" customFormat="1" ht="12.75" thickBot="1">
      <c r="A309" s="43" t="s">
        <v>120</v>
      </c>
      <c r="B309" s="71">
        <f aca="true" t="shared" si="105" ref="B309:M309">B296</f>
        <v>838106.88</v>
      </c>
      <c r="C309" s="72">
        <f t="shared" si="105"/>
        <v>85417.97</v>
      </c>
      <c r="D309" s="71">
        <f t="shared" si="105"/>
        <v>841143.1399999999</v>
      </c>
      <c r="E309" s="72">
        <f t="shared" si="105"/>
        <v>76140.7</v>
      </c>
      <c r="F309" s="71">
        <f t="shared" si="105"/>
        <v>844190.7799999999</v>
      </c>
      <c r="G309" s="72">
        <f t="shared" si="105"/>
        <v>83170.09</v>
      </c>
      <c r="H309" s="71">
        <f t="shared" si="105"/>
        <v>847249.1000000001</v>
      </c>
      <c r="I309" s="72">
        <f t="shared" si="105"/>
        <v>79386.18</v>
      </c>
      <c r="J309" s="71">
        <f t="shared" si="105"/>
        <v>850318.8700000001</v>
      </c>
      <c r="K309" s="72">
        <f t="shared" si="105"/>
        <v>80885.28</v>
      </c>
      <c r="L309" s="71">
        <f t="shared" si="105"/>
        <v>853399.39</v>
      </c>
      <c r="M309" s="72">
        <f t="shared" si="105"/>
        <v>77156.71</v>
      </c>
      <c r="N309" s="597">
        <f t="shared" si="100"/>
        <v>5074408.159999999</v>
      </c>
      <c r="O309" s="598">
        <f t="shared" si="101"/>
        <v>482156.93</v>
      </c>
      <c r="P309" s="71">
        <f>P296</f>
        <v>856491.46</v>
      </c>
      <c r="Q309" s="72">
        <f>Q296</f>
        <v>78562.51000000001</v>
      </c>
      <c r="R309" s="71">
        <f>R296</f>
        <v>859594.32</v>
      </c>
      <c r="S309" s="72">
        <f aca="true" t="shared" si="106" ref="S309:AA309">S296</f>
        <v>77386.98999999999</v>
      </c>
      <c r="T309" s="71">
        <f t="shared" si="106"/>
        <v>862708.8400000001</v>
      </c>
      <c r="U309" s="72">
        <f t="shared" si="106"/>
        <v>73743.90999999999</v>
      </c>
      <c r="V309" s="71">
        <f t="shared" si="106"/>
        <v>865834.2199999999</v>
      </c>
      <c r="W309" s="72">
        <f t="shared" si="106"/>
        <v>75007.30000000002</v>
      </c>
      <c r="X309" s="71">
        <f t="shared" si="106"/>
        <v>868971.3299999998</v>
      </c>
      <c r="Y309" s="72">
        <f t="shared" si="106"/>
        <v>71422.24</v>
      </c>
      <c r="Z309" s="71">
        <f t="shared" si="106"/>
        <v>872119.4099999999</v>
      </c>
      <c r="AA309" s="72">
        <f t="shared" si="106"/>
        <v>72589.03</v>
      </c>
      <c r="AB309" s="597">
        <f t="shared" si="103"/>
        <v>10260127.74</v>
      </c>
      <c r="AC309" s="598">
        <f t="shared" si="104"/>
        <v>930868.91</v>
      </c>
    </row>
    <row r="310" spans="1:29" ht="13.5" thickBot="1">
      <c r="A310" s="42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1"/>
      <c r="AC310" s="42"/>
    </row>
    <row r="311" spans="1:29" s="42" customFormat="1" ht="12.75" thickBot="1">
      <c r="A311" s="12" t="s">
        <v>94</v>
      </c>
      <c r="B311" s="39"/>
      <c r="C311" s="39"/>
      <c r="D311" s="39"/>
      <c r="E311" s="39"/>
      <c r="F311" s="39"/>
      <c r="G311" s="39"/>
      <c r="H311" s="78" t="s">
        <v>132</v>
      </c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78" t="str">
        <f>H311</f>
        <v>EN PESOS</v>
      </c>
      <c r="W311" s="39"/>
      <c r="X311" s="39"/>
      <c r="Y311" s="39"/>
      <c r="Z311" s="39"/>
      <c r="AA311" s="39"/>
      <c r="AB311" s="39"/>
      <c r="AC311" s="38"/>
    </row>
    <row r="312" spans="1:29" ht="12.75">
      <c r="A312" s="33" t="s">
        <v>27</v>
      </c>
      <c r="B312" s="32">
        <f aca="true" t="shared" si="107" ref="B312:M312">SUM(B313:B316)</f>
        <v>911852.8299999998</v>
      </c>
      <c r="C312" s="31">
        <f t="shared" si="107"/>
        <v>22427.71</v>
      </c>
      <c r="D312" s="32">
        <f t="shared" si="107"/>
        <v>919934.05</v>
      </c>
      <c r="E312" s="31">
        <f t="shared" si="107"/>
        <v>16731.17</v>
      </c>
      <c r="F312" s="32">
        <f t="shared" si="107"/>
        <v>710885.7699999999</v>
      </c>
      <c r="G312" s="31">
        <f t="shared" si="107"/>
        <v>13863.110000000002</v>
      </c>
      <c r="H312" s="32">
        <f t="shared" si="107"/>
        <v>715872.8600000001</v>
      </c>
      <c r="I312" s="31">
        <f t="shared" si="107"/>
        <v>12332.45</v>
      </c>
      <c r="J312" s="32">
        <f t="shared" si="107"/>
        <v>720894.46</v>
      </c>
      <c r="K312" s="31">
        <f t="shared" si="107"/>
        <v>11606.11</v>
      </c>
      <c r="L312" s="32">
        <f t="shared" si="107"/>
        <v>725950.8400000001</v>
      </c>
      <c r="M312" s="31">
        <f t="shared" si="107"/>
        <v>10116.17</v>
      </c>
      <c r="N312" s="32">
        <f aca="true" t="shared" si="108" ref="N312:N328">B312+D312+F312+H312+J312+L312</f>
        <v>4705390.81</v>
      </c>
      <c r="O312" s="31">
        <f aca="true" t="shared" si="109" ref="O312:O328">C312+E312+G312+I312+K312+M312</f>
        <v>87076.72</v>
      </c>
      <c r="P312" s="32">
        <f aca="true" t="shared" si="110" ref="P312:AA312">SUM(P313:P316)</f>
        <v>731042.16</v>
      </c>
      <c r="Q312" s="31">
        <f t="shared" si="110"/>
        <v>9282.7</v>
      </c>
      <c r="R312" s="32">
        <f t="shared" si="110"/>
        <v>736168.6599999999</v>
      </c>
      <c r="S312" s="31">
        <f t="shared" si="110"/>
        <v>8095.660000000001</v>
      </c>
      <c r="T312" s="32">
        <f t="shared" si="110"/>
        <v>741330.52</v>
      </c>
      <c r="U312" s="31">
        <f t="shared" si="110"/>
        <v>6669.58</v>
      </c>
      <c r="V312" s="32">
        <f t="shared" si="110"/>
        <v>746527.96</v>
      </c>
      <c r="W312" s="31">
        <f t="shared" si="110"/>
        <v>5669.9800000000005</v>
      </c>
      <c r="X312" s="32">
        <f t="shared" si="110"/>
        <v>751761.17</v>
      </c>
      <c r="Y312" s="31">
        <f t="shared" si="110"/>
        <v>4288.34</v>
      </c>
      <c r="Z312" s="32">
        <f t="shared" si="110"/>
        <v>757030.3799999999</v>
      </c>
      <c r="AA312" s="31">
        <f t="shared" si="110"/>
        <v>3174.3399999999997</v>
      </c>
      <c r="AB312" s="32">
        <f aca="true" t="shared" si="111" ref="AB312:AB328">+N312+P312+R312+T312+V312+X312+Z312</f>
        <v>9169251.66</v>
      </c>
      <c r="AC312" s="31">
        <f aca="true" t="shared" si="112" ref="AC312:AC328">O312+Q312+S312+U312+W312+Y312+AA312</f>
        <v>124257.31999999999</v>
      </c>
    </row>
    <row r="313" spans="1:29" ht="12.75">
      <c r="A313" s="34" t="s">
        <v>22</v>
      </c>
      <c r="B313" s="81">
        <f>'[43]Flujo para el libro'!B$17</f>
        <v>430695.73</v>
      </c>
      <c r="C313" s="82">
        <f>'[43]Flujo para el libro'!C$17</f>
        <v>9630.17</v>
      </c>
      <c r="D313" s="81">
        <f>'[43]Flujo para el libro'!D$17</f>
        <v>433732.13</v>
      </c>
      <c r="E313" s="82">
        <f>'[43]Flujo para el libro'!E$17</f>
        <v>8094.089999999999</v>
      </c>
      <c r="F313" s="81">
        <f>'[43]Flujo para el libro'!F$17</f>
        <v>436789.94</v>
      </c>
      <c r="G313" s="82">
        <f>'[43]Flujo para el libro'!G$17</f>
        <v>8282.54</v>
      </c>
      <c r="H313" s="81">
        <f>'[43]Flujo para el libro'!H$17</f>
        <v>439869.31</v>
      </c>
      <c r="I313" s="82">
        <f>'[43]Flujo para el libro'!I$17</f>
        <v>7348.8</v>
      </c>
      <c r="J313" s="81">
        <f>'[43]Flujo para el libro'!J$17</f>
        <v>442970.38</v>
      </c>
      <c r="K313" s="82">
        <f>'[43]Flujo para el libro'!K$17</f>
        <v>6894.85</v>
      </c>
      <c r="L313" s="81">
        <f>'[43]Flujo para el libro'!L$17</f>
        <v>446093.32</v>
      </c>
      <c r="M313" s="82">
        <f>'[43]Flujo para el libro'!M$17</f>
        <v>5986.17</v>
      </c>
      <c r="N313" s="51">
        <f t="shared" si="108"/>
        <v>2630150.81</v>
      </c>
      <c r="O313" s="50">
        <f t="shared" si="109"/>
        <v>46236.619999999995</v>
      </c>
      <c r="P313" s="81">
        <f>'[43]Flujo para el libro'!N$17</f>
        <v>449238.26999999996</v>
      </c>
      <c r="Q313" s="82">
        <f>'[43]Flujo para el libro'!O$17</f>
        <v>5466.23</v>
      </c>
      <c r="R313" s="81">
        <f>'[43]Flujo para el libro'!P$17</f>
        <v>452405.39999999997</v>
      </c>
      <c r="S313" s="82">
        <f>'[43]Flujo para el libro'!Q$17</f>
        <v>4736.3</v>
      </c>
      <c r="T313" s="81">
        <f>'[43]Flujo para el libro'!R$17</f>
        <v>455594.85</v>
      </c>
      <c r="U313" s="82">
        <f>'[43]Flujo para el libro'!S$17</f>
        <v>3866.91</v>
      </c>
      <c r="V313" s="81">
        <f>'[43]Flujo para el libro'!T$17</f>
        <v>458806.79</v>
      </c>
      <c r="W313" s="82">
        <f>'[43]Flujo para el libro'!U$17</f>
        <v>3244.63</v>
      </c>
      <c r="X313" s="81">
        <f>'[43]Flujo para el libro'!V$17</f>
        <v>462041.36</v>
      </c>
      <c r="Y313" s="82">
        <f>'[43]Flujo para el libro'!W$17</f>
        <v>2402.58</v>
      </c>
      <c r="Z313" s="81">
        <f>'[43]Flujo para el libro'!X$17</f>
        <v>465298.74</v>
      </c>
      <c r="AA313" s="82">
        <f>'[43]Flujo para el libro'!Y$17</f>
        <v>1709.8</v>
      </c>
      <c r="AB313" s="51">
        <f t="shared" si="111"/>
        <v>5373536.220000001</v>
      </c>
      <c r="AC313" s="50">
        <f t="shared" si="112"/>
        <v>67663.06999999999</v>
      </c>
    </row>
    <row r="314" spans="1:29" ht="12.75">
      <c r="A314" s="34" t="s">
        <v>126</v>
      </c>
      <c r="B314" s="545">
        <f>'[56]Flujos Vencimientos'!$B$17</f>
        <v>210838.46</v>
      </c>
      <c r="C314" s="546">
        <f>'[56]Flujos Vencimientos'!$C$17</f>
        <v>6372.59</v>
      </c>
      <c r="D314" s="545">
        <f>'[56]Flujos Vencimientos'!$D$17</f>
        <v>214001.03</v>
      </c>
      <c r="E314" s="546">
        <f>'[56]Flujos Vencimientos'!$E$17</f>
        <v>3210.02</v>
      </c>
      <c r="F314" s="545"/>
      <c r="G314" s="546"/>
      <c r="H314" s="545"/>
      <c r="I314" s="546"/>
      <c r="J314" s="545"/>
      <c r="K314" s="546"/>
      <c r="L314" s="545"/>
      <c r="M314" s="546"/>
      <c r="N314" s="547">
        <f t="shared" si="108"/>
        <v>424839.49</v>
      </c>
      <c r="O314" s="84">
        <f t="shared" si="109"/>
        <v>9582.61</v>
      </c>
      <c r="P314" s="545"/>
      <c r="Q314" s="546"/>
      <c r="R314" s="545"/>
      <c r="S314" s="546"/>
      <c r="T314" s="545"/>
      <c r="U314" s="546"/>
      <c r="V314" s="545"/>
      <c r="W314" s="546"/>
      <c r="X314" s="545"/>
      <c r="Y314" s="546"/>
      <c r="Z314" s="545"/>
      <c r="AA314" s="546"/>
      <c r="AB314" s="547">
        <f>+N314+P314+R314+T314+V314+X314+Z314</f>
        <v>424839.49</v>
      </c>
      <c r="AC314" s="84">
        <f>O314+Q314+S314+U314+W314+Y314+AA314</f>
        <v>9582.61</v>
      </c>
    </row>
    <row r="315" spans="1:29" ht="12.75">
      <c r="A315" s="34" t="s">
        <v>128</v>
      </c>
      <c r="B315" s="81">
        <f>'[30]Flujo para el libro'!B$17</f>
        <v>258824.43999999997</v>
      </c>
      <c r="C315" s="82">
        <f>'[30]Flujo para el libro'!C$17</f>
        <v>5810.17</v>
      </c>
      <c r="D315" s="81">
        <f>'[30]Flujo para el libro'!D$17</f>
        <v>260649.15000000002</v>
      </c>
      <c r="E315" s="82">
        <f>'[30]Flujo para el libro'!E$17</f>
        <v>4885.360000000001</v>
      </c>
      <c r="F315" s="81">
        <f>'[30]Flujo para el libro'!F$17</f>
        <v>262486.72</v>
      </c>
      <c r="G315" s="82">
        <f>'[30]Flujo para el libro'!G$17</f>
        <v>4996.900000000001</v>
      </c>
      <c r="H315" s="81">
        <f>'[30]Flujo para el libro'!H$17</f>
        <v>264337.25</v>
      </c>
      <c r="I315" s="82">
        <f>'[30]Flujo para el libro'!I$17</f>
        <v>4434.05</v>
      </c>
      <c r="J315" s="81">
        <f>'[30]Flujo para el libro'!J$17</f>
        <v>266200.82</v>
      </c>
      <c r="K315" s="82">
        <f>'[30]Flujo para el libro'!K$17</f>
        <v>4159.530000000001</v>
      </c>
      <c r="L315" s="81">
        <f>'[30]Flujo para el libro'!L$17</f>
        <v>268077.54000000004</v>
      </c>
      <c r="M315" s="82">
        <f>'[30]Flujo para el libro'!M$17</f>
        <v>3611.73</v>
      </c>
      <c r="N315" s="51">
        <f t="shared" si="108"/>
        <v>1580575.92</v>
      </c>
      <c r="O315" s="50">
        <f t="shared" si="109"/>
        <v>27897.74</v>
      </c>
      <c r="P315" s="81">
        <f>'[30]Flujo para el libro'!N$17</f>
        <v>269967.48</v>
      </c>
      <c r="Q315" s="82">
        <f>'[30]Flujo para el libro'!O$17</f>
        <v>3297.53</v>
      </c>
      <c r="R315" s="81">
        <f>'[30]Flujo para el libro'!P$17</f>
        <v>271870.75</v>
      </c>
      <c r="S315" s="82">
        <f>'[30]Flujo para el libro'!Q$17</f>
        <v>2857.1400000000003</v>
      </c>
      <c r="T315" s="81">
        <f>'[30]Flujo para el libro'!R$17</f>
        <v>273787.44</v>
      </c>
      <c r="U315" s="82">
        <f>'[30]Flujo para el libro'!S$17</f>
        <v>2332.9300000000003</v>
      </c>
      <c r="V315" s="81">
        <f>'[30]Flujo para el libro'!T$17</f>
        <v>275717.63</v>
      </c>
      <c r="W315" s="82">
        <f>'[30]Flujo para el libro'!U$17</f>
        <v>1957.2099999999998</v>
      </c>
      <c r="X315" s="81">
        <f>'[30]Flujo para el libro'!V$17</f>
        <v>277661.43</v>
      </c>
      <c r="Y315" s="82">
        <f>'[30]Flujo para el libro'!W$17</f>
        <v>1449.4299999999998</v>
      </c>
      <c r="Z315" s="81">
        <f>'[30]Flujo para el libro'!X$17</f>
        <v>279618.94</v>
      </c>
      <c r="AA315" s="82">
        <f>'[30]Flujo para el libro'!Y$17</f>
        <v>1031.34</v>
      </c>
      <c r="AB315" s="51">
        <f t="shared" si="111"/>
        <v>3229199.59</v>
      </c>
      <c r="AC315" s="50">
        <f t="shared" si="112"/>
        <v>40823.32</v>
      </c>
    </row>
    <row r="316" spans="1:29" ht="12.75">
      <c r="A316" s="34" t="s">
        <v>11</v>
      </c>
      <c r="B316" s="81">
        <f>'[5]Flujo para el libro'!B$17</f>
        <v>11494.2</v>
      </c>
      <c r="C316" s="82">
        <f>'[5]Flujo para el libro'!C$17</f>
        <v>614.7800000000001</v>
      </c>
      <c r="D316" s="81">
        <f>'[5]Flujo para el libro'!D$17</f>
        <v>11551.74</v>
      </c>
      <c r="E316" s="82">
        <f>'[5]Flujo para el libro'!E$17</f>
        <v>541.7</v>
      </c>
      <c r="F316" s="81">
        <f>'[5]Flujo para el libro'!F$17</f>
        <v>11609.11</v>
      </c>
      <c r="G316" s="82">
        <f>'[5]Flujo para el libro'!G$17</f>
        <v>583.67</v>
      </c>
      <c r="H316" s="81">
        <f>'[5]Flujo para el libro'!H$17</f>
        <v>11666.3</v>
      </c>
      <c r="I316" s="82">
        <f>'[5]Flujo para el libro'!I$17</f>
        <v>549.6</v>
      </c>
      <c r="J316" s="81">
        <f>'[5]Flujo para el libro'!J$17</f>
        <v>11723.259999999998</v>
      </c>
      <c r="K316" s="82">
        <f>'[5]Flujo para el libro'!K$17</f>
        <v>551.7299999999999</v>
      </c>
      <c r="L316" s="81">
        <f>'[5]Flujo para el libro'!L$17</f>
        <v>11779.98</v>
      </c>
      <c r="M316" s="82">
        <f>'[5]Flujo para el libro'!M$17</f>
        <v>518.2700000000001</v>
      </c>
      <c r="N316" s="51">
        <f t="shared" si="108"/>
        <v>69824.59</v>
      </c>
      <c r="O316" s="50">
        <f t="shared" si="109"/>
        <v>3359.75</v>
      </c>
      <c r="P316" s="81">
        <f>'[5]Flujo para el libro'!N$17</f>
        <v>11836.41</v>
      </c>
      <c r="Q316" s="82">
        <f>'[5]Flujo para el libro'!O$17</f>
        <v>518.94</v>
      </c>
      <c r="R316" s="81">
        <f>'[5]Flujo para el libro'!P$17</f>
        <v>11892.509999999998</v>
      </c>
      <c r="S316" s="82">
        <f>'[5]Flujo para el libro'!Q$17</f>
        <v>502.22</v>
      </c>
      <c r="T316" s="81">
        <f>'[5]Flujo para el libro'!R$17</f>
        <v>11948.23</v>
      </c>
      <c r="U316" s="82">
        <f>'[5]Flujo para el libro'!S$17</f>
        <v>469.74</v>
      </c>
      <c r="V316" s="81">
        <f>'[5]Flujo para el libro'!T$17</f>
        <v>12003.539999999999</v>
      </c>
      <c r="W316" s="82">
        <f>'[5]Flujo para el libro'!U$17</f>
        <v>468.14000000000004</v>
      </c>
      <c r="X316" s="81">
        <f>'[5]Flujo para el libro'!V$17</f>
        <v>12058.38</v>
      </c>
      <c r="Y316" s="82">
        <f>'[5]Flujo para el libro'!W$17</f>
        <v>436.33</v>
      </c>
      <c r="Z316" s="81">
        <f>'[5]Flujo para el libro'!X$17</f>
        <v>12112.7</v>
      </c>
      <c r="AA316" s="82">
        <f>'[5]Flujo para el libro'!Y$17</f>
        <v>433.2</v>
      </c>
      <c r="AB316" s="51">
        <f t="shared" si="111"/>
        <v>141676.36</v>
      </c>
      <c r="AC316" s="50">
        <f t="shared" si="112"/>
        <v>6188.32</v>
      </c>
    </row>
    <row r="317" spans="1:29" ht="12.75" hidden="1">
      <c r="A317" s="33" t="s">
        <v>129</v>
      </c>
      <c r="B317" s="32">
        <f aca="true" t="shared" si="113" ref="B317:M317">SUM(B318:B318)</f>
        <v>0</v>
      </c>
      <c r="C317" s="31">
        <f t="shared" si="113"/>
        <v>0</v>
      </c>
      <c r="D317" s="32">
        <f t="shared" si="113"/>
        <v>0</v>
      </c>
      <c r="E317" s="31">
        <f t="shared" si="113"/>
        <v>0</v>
      </c>
      <c r="F317" s="32">
        <f t="shared" si="113"/>
        <v>0</v>
      </c>
      <c r="G317" s="31">
        <f t="shared" si="113"/>
        <v>0</v>
      </c>
      <c r="H317" s="32">
        <f t="shared" si="113"/>
        <v>0</v>
      </c>
      <c r="I317" s="31">
        <f t="shared" si="113"/>
        <v>0</v>
      </c>
      <c r="J317" s="32">
        <f t="shared" si="113"/>
        <v>0</v>
      </c>
      <c r="K317" s="31">
        <f t="shared" si="113"/>
        <v>0</v>
      </c>
      <c r="L317" s="32">
        <f t="shared" si="113"/>
        <v>0</v>
      </c>
      <c r="M317" s="31">
        <f t="shared" si="113"/>
        <v>0</v>
      </c>
      <c r="N317" s="32">
        <f t="shared" si="108"/>
        <v>0</v>
      </c>
      <c r="O317" s="31">
        <f t="shared" si="109"/>
        <v>0</v>
      </c>
      <c r="P317" s="32">
        <f aca="true" t="shared" si="114" ref="P317:AA317">SUM(P318:P318)</f>
        <v>0</v>
      </c>
      <c r="Q317" s="31">
        <f t="shared" si="114"/>
        <v>0</v>
      </c>
      <c r="R317" s="32">
        <f t="shared" si="114"/>
        <v>0</v>
      </c>
      <c r="S317" s="31">
        <f t="shared" si="114"/>
        <v>0</v>
      </c>
      <c r="T317" s="32">
        <f t="shared" si="114"/>
        <v>0</v>
      </c>
      <c r="U317" s="31">
        <f t="shared" si="114"/>
        <v>0</v>
      </c>
      <c r="V317" s="32">
        <f t="shared" si="114"/>
        <v>0</v>
      </c>
      <c r="W317" s="31">
        <f t="shared" si="114"/>
        <v>0</v>
      </c>
      <c r="X317" s="32">
        <f t="shared" si="114"/>
        <v>0</v>
      </c>
      <c r="Y317" s="31">
        <f t="shared" si="114"/>
        <v>0</v>
      </c>
      <c r="Z317" s="32">
        <f t="shared" si="114"/>
        <v>0</v>
      </c>
      <c r="AA317" s="31">
        <f t="shared" si="114"/>
        <v>0</v>
      </c>
      <c r="AB317" s="32">
        <f t="shared" si="111"/>
        <v>0</v>
      </c>
      <c r="AC317" s="31">
        <f t="shared" si="112"/>
        <v>0</v>
      </c>
    </row>
    <row r="318" spans="1:29" ht="12.75" hidden="1">
      <c r="A318" s="34" t="s">
        <v>21</v>
      </c>
      <c r="B318" s="81"/>
      <c r="C318" s="82"/>
      <c r="D318" s="81"/>
      <c r="E318" s="82"/>
      <c r="F318" s="81"/>
      <c r="G318" s="82"/>
      <c r="H318" s="81"/>
      <c r="I318" s="82"/>
      <c r="J318" s="81"/>
      <c r="K318" s="82"/>
      <c r="L318" s="81"/>
      <c r="M318" s="82"/>
      <c r="N318" s="51">
        <f t="shared" si="108"/>
        <v>0</v>
      </c>
      <c r="O318" s="50">
        <f t="shared" si="109"/>
        <v>0</v>
      </c>
      <c r="P318" s="81"/>
      <c r="Q318" s="82"/>
      <c r="R318" s="81"/>
      <c r="S318" s="82"/>
      <c r="T318" s="81"/>
      <c r="U318" s="82"/>
      <c r="V318" s="81"/>
      <c r="W318" s="82"/>
      <c r="X318" s="81"/>
      <c r="Y318" s="82"/>
      <c r="Z318" s="81"/>
      <c r="AA318" s="82"/>
      <c r="AB318" s="51">
        <f t="shared" si="111"/>
        <v>0</v>
      </c>
      <c r="AC318" s="50">
        <f t="shared" si="112"/>
        <v>0</v>
      </c>
    </row>
    <row r="319" spans="1:29" ht="12.75">
      <c r="A319" s="134" t="s">
        <v>130</v>
      </c>
      <c r="B319" s="32">
        <f aca="true" t="shared" si="115" ref="B319:AC319">SUM(B320:B322)</f>
        <v>50262.6</v>
      </c>
      <c r="C319" s="31">
        <f t="shared" si="115"/>
        <v>48529.74</v>
      </c>
      <c r="D319" s="32">
        <f t="shared" si="115"/>
        <v>50262.6</v>
      </c>
      <c r="E319" s="31">
        <f t="shared" si="115"/>
        <v>43601.97</v>
      </c>
      <c r="F319" s="32">
        <f t="shared" si="115"/>
        <v>50262.6</v>
      </c>
      <c r="G319" s="31">
        <f t="shared" si="115"/>
        <v>48017.47</v>
      </c>
      <c r="H319" s="32">
        <f t="shared" si="115"/>
        <v>50262.6</v>
      </c>
      <c r="I319" s="31">
        <f t="shared" si="115"/>
        <v>46220.65</v>
      </c>
      <c r="J319" s="32">
        <f t="shared" si="115"/>
        <v>50262.6</v>
      </c>
      <c r="K319" s="31">
        <f t="shared" si="115"/>
        <v>47505.21</v>
      </c>
      <c r="L319" s="32">
        <f t="shared" si="115"/>
        <v>50262.6</v>
      </c>
      <c r="M319" s="31">
        <f t="shared" si="115"/>
        <v>45724.91</v>
      </c>
      <c r="N319" s="32">
        <f t="shared" si="115"/>
        <v>301575.6</v>
      </c>
      <c r="O319" s="31">
        <f t="shared" si="115"/>
        <v>279599.94999999995</v>
      </c>
      <c r="P319" s="32">
        <f t="shared" si="115"/>
        <v>50262.6</v>
      </c>
      <c r="Q319" s="31">
        <f t="shared" si="115"/>
        <v>46992.94</v>
      </c>
      <c r="R319" s="32">
        <f t="shared" si="115"/>
        <v>50262.6</v>
      </c>
      <c r="S319" s="31">
        <f t="shared" si="115"/>
        <v>46736.81</v>
      </c>
      <c r="T319" s="32">
        <f t="shared" si="115"/>
        <v>50262.6</v>
      </c>
      <c r="U319" s="31">
        <f t="shared" si="115"/>
        <v>44981.3</v>
      </c>
      <c r="V319" s="32">
        <f t="shared" si="115"/>
        <v>50262.6</v>
      </c>
      <c r="W319" s="31">
        <f t="shared" si="115"/>
        <v>46224.54</v>
      </c>
      <c r="X319" s="32">
        <f t="shared" si="115"/>
        <v>50262.6</v>
      </c>
      <c r="Y319" s="31">
        <f t="shared" si="115"/>
        <v>44485.56</v>
      </c>
      <c r="Z319" s="32">
        <f t="shared" si="115"/>
        <v>50262.6</v>
      </c>
      <c r="AA319" s="31">
        <f t="shared" si="115"/>
        <v>45712.28</v>
      </c>
      <c r="AB319" s="32">
        <f t="shared" si="115"/>
        <v>603151.1999999998</v>
      </c>
      <c r="AC319" s="31">
        <f t="shared" si="115"/>
        <v>554733.3799999999</v>
      </c>
    </row>
    <row r="320" spans="1:29" ht="12.75">
      <c r="A320" s="5" t="s">
        <v>22</v>
      </c>
      <c r="B320" s="545">
        <f>'[68]Flujo vencimientos'!B$17</f>
        <v>50262.6</v>
      </c>
      <c r="C320" s="546">
        <f>'[68]Flujo vencimientos'!C$17</f>
        <v>48529.74</v>
      </c>
      <c r="D320" s="545">
        <f>'[68]Flujo vencimientos'!D$17</f>
        <v>50262.6</v>
      </c>
      <c r="E320" s="546">
        <f>'[68]Flujo vencimientos'!E$17</f>
        <v>43601.97</v>
      </c>
      <c r="F320" s="545">
        <f>'[68]Flujo vencimientos'!F$17</f>
        <v>50262.6</v>
      </c>
      <c r="G320" s="546">
        <f>'[68]Flujo vencimientos'!G$17</f>
        <v>48017.47</v>
      </c>
      <c r="H320" s="545">
        <f>'[68]Flujo vencimientos'!H$17</f>
        <v>50262.6</v>
      </c>
      <c r="I320" s="546">
        <f>'[68]Flujo vencimientos'!I$17</f>
        <v>46220.65</v>
      </c>
      <c r="J320" s="545">
        <f>'[68]Flujo vencimientos'!J$17</f>
        <v>50262.6</v>
      </c>
      <c r="K320" s="546">
        <f>'[68]Flujo vencimientos'!K$17</f>
        <v>47505.21</v>
      </c>
      <c r="L320" s="545">
        <f>'[68]Flujo vencimientos'!L$17</f>
        <v>50262.6</v>
      </c>
      <c r="M320" s="546">
        <f>'[68]Flujo vencimientos'!M$17</f>
        <v>45724.91</v>
      </c>
      <c r="N320" s="547">
        <f>B320+D320+F320+H320+J320+L320</f>
        <v>301575.6</v>
      </c>
      <c r="O320" s="84">
        <f>C320+E320+G320+I320+K320+M320</f>
        <v>279599.94999999995</v>
      </c>
      <c r="P320" s="545">
        <f>'[68]Flujo vencimientos'!N$17</f>
        <v>50262.6</v>
      </c>
      <c r="Q320" s="546">
        <f>'[68]Flujo vencimientos'!O$17</f>
        <v>46992.94</v>
      </c>
      <c r="R320" s="545">
        <f>'[68]Flujo vencimientos'!P$17</f>
        <v>50262.6</v>
      </c>
      <c r="S320" s="546">
        <f>'[68]Flujo vencimientos'!Q$17</f>
        <v>46736.81</v>
      </c>
      <c r="T320" s="545">
        <f>'[68]Flujo vencimientos'!R$17</f>
        <v>50262.6</v>
      </c>
      <c r="U320" s="546">
        <f>'[68]Flujo vencimientos'!S$17</f>
        <v>44981.3</v>
      </c>
      <c r="V320" s="545">
        <f>'[68]Flujo vencimientos'!T$17</f>
        <v>50262.6</v>
      </c>
      <c r="W320" s="546">
        <f>'[68]Flujo vencimientos'!U$17</f>
        <v>46224.54</v>
      </c>
      <c r="X320" s="545">
        <f>'[68]Flujo vencimientos'!V$17</f>
        <v>50262.6</v>
      </c>
      <c r="Y320" s="546">
        <f>'[68]Flujo vencimientos'!W$17</f>
        <v>44485.56</v>
      </c>
      <c r="Z320" s="545">
        <f>'[68]Flujo vencimientos'!X$17</f>
        <v>50262.6</v>
      </c>
      <c r="AA320" s="546">
        <f>'[68]Flujo vencimientos'!Y$17</f>
        <v>45712.28</v>
      </c>
      <c r="AB320" s="547">
        <f>+N320+P320+R320+T320+V320+X320+Z320</f>
        <v>603151.1999999998</v>
      </c>
      <c r="AC320" s="84">
        <f>O320+Q320+S320+U320+W320+Y320+AA320</f>
        <v>554733.3799999999</v>
      </c>
    </row>
    <row r="321" spans="1:29" ht="12.75" hidden="1">
      <c r="A321" s="5" t="s">
        <v>8</v>
      </c>
      <c r="B321" s="545"/>
      <c r="C321" s="546"/>
      <c r="D321" s="545"/>
      <c r="E321" s="546"/>
      <c r="F321" s="545"/>
      <c r="G321" s="546"/>
      <c r="H321" s="545"/>
      <c r="I321" s="546"/>
      <c r="J321" s="545"/>
      <c r="K321" s="546"/>
      <c r="L321" s="545"/>
      <c r="M321" s="546"/>
      <c r="N321" s="547">
        <f t="shared" si="108"/>
        <v>0</v>
      </c>
      <c r="O321" s="84">
        <f t="shared" si="109"/>
        <v>0</v>
      </c>
      <c r="P321" s="545"/>
      <c r="Q321" s="546"/>
      <c r="R321" s="545"/>
      <c r="S321" s="546"/>
      <c r="T321" s="545"/>
      <c r="U321" s="546"/>
      <c r="V321" s="545"/>
      <c r="W321" s="546"/>
      <c r="X321" s="545"/>
      <c r="Y321" s="546"/>
      <c r="Z321" s="545"/>
      <c r="AA321" s="546"/>
      <c r="AB321" s="547">
        <f t="shared" si="111"/>
        <v>0</v>
      </c>
      <c r="AC321" s="84">
        <f t="shared" si="112"/>
        <v>0</v>
      </c>
    </row>
    <row r="322" spans="1:29" ht="12.75" hidden="1">
      <c r="A322" s="5" t="s">
        <v>11</v>
      </c>
      <c r="B322" s="545"/>
      <c r="C322" s="546"/>
      <c r="D322" s="545"/>
      <c r="E322" s="546"/>
      <c r="F322" s="545"/>
      <c r="G322" s="546"/>
      <c r="H322" s="545"/>
      <c r="I322" s="546"/>
      <c r="J322" s="545"/>
      <c r="K322" s="546"/>
      <c r="L322" s="545"/>
      <c r="M322" s="546"/>
      <c r="N322" s="547">
        <f t="shared" si="108"/>
        <v>0</v>
      </c>
      <c r="O322" s="84">
        <f t="shared" si="109"/>
        <v>0</v>
      </c>
      <c r="P322" s="545"/>
      <c r="Q322" s="546"/>
      <c r="R322" s="545"/>
      <c r="S322" s="546"/>
      <c r="T322" s="545"/>
      <c r="U322" s="546"/>
      <c r="V322" s="545"/>
      <c r="W322" s="546"/>
      <c r="X322" s="545"/>
      <c r="Y322" s="546"/>
      <c r="Z322" s="545"/>
      <c r="AA322" s="546"/>
      <c r="AB322" s="547">
        <f t="shared" si="111"/>
        <v>0</v>
      </c>
      <c r="AC322" s="84">
        <f t="shared" si="112"/>
        <v>0</v>
      </c>
    </row>
    <row r="323" spans="1:29" s="1" customFormat="1" ht="12">
      <c r="A323" s="134" t="s">
        <v>179</v>
      </c>
      <c r="B323" s="32">
        <f>SUM(B324:B327)</f>
        <v>2051549.1</v>
      </c>
      <c r="C323" s="31">
        <f>SUM(C324:C327)</f>
        <v>114621.65</v>
      </c>
      <c r="D323" s="32">
        <f aca="true" t="shared" si="116" ref="D323:M323">SUM(D324:D327)</f>
        <v>64576.84</v>
      </c>
      <c r="E323" s="31">
        <f t="shared" si="116"/>
        <v>11243.04</v>
      </c>
      <c r="F323" s="32">
        <f t="shared" si="116"/>
        <v>414978.64</v>
      </c>
      <c r="G323" s="31">
        <f t="shared" si="116"/>
        <v>40249.24</v>
      </c>
      <c r="H323" s="32">
        <f t="shared" si="116"/>
        <v>65401.03</v>
      </c>
      <c r="I323" s="31">
        <f t="shared" si="116"/>
        <v>10418.85</v>
      </c>
      <c r="J323" s="32">
        <f t="shared" si="116"/>
        <v>65817.76999999999</v>
      </c>
      <c r="K323" s="31">
        <f t="shared" si="116"/>
        <v>10002.11</v>
      </c>
      <c r="L323" s="32">
        <f t="shared" si="116"/>
        <v>66237.64</v>
      </c>
      <c r="M323" s="31">
        <f t="shared" si="116"/>
        <v>9582.24</v>
      </c>
      <c r="N323" s="32">
        <f t="shared" si="108"/>
        <v>2728561.02</v>
      </c>
      <c r="O323" s="31">
        <f t="shared" si="109"/>
        <v>196117.13</v>
      </c>
      <c r="P323" s="32">
        <f aca="true" t="shared" si="117" ref="P323:AA323">SUM(P324:P327)</f>
        <v>66660.65</v>
      </c>
      <c r="Q323" s="31">
        <f t="shared" si="117"/>
        <v>9159.23</v>
      </c>
      <c r="R323" s="32">
        <f t="shared" si="117"/>
        <v>67086.83</v>
      </c>
      <c r="S323" s="31">
        <f t="shared" si="117"/>
        <v>8733.05</v>
      </c>
      <c r="T323" s="32">
        <f t="shared" si="117"/>
        <v>67516.20999999999</v>
      </c>
      <c r="U323" s="31">
        <f t="shared" si="117"/>
        <v>8303.67</v>
      </c>
      <c r="V323" s="32">
        <f t="shared" si="117"/>
        <v>67948.82</v>
      </c>
      <c r="W323" s="31">
        <f t="shared" si="117"/>
        <v>7871.06</v>
      </c>
      <c r="X323" s="32">
        <f t="shared" si="117"/>
        <v>68384.66</v>
      </c>
      <c r="Y323" s="31">
        <f t="shared" si="117"/>
        <v>7435.22</v>
      </c>
      <c r="Z323" s="32">
        <f t="shared" si="117"/>
        <v>68823.78</v>
      </c>
      <c r="AA323" s="31">
        <f t="shared" si="117"/>
        <v>6996.1</v>
      </c>
      <c r="AB323" s="32">
        <f t="shared" si="111"/>
        <v>3134981.9699999997</v>
      </c>
      <c r="AC323" s="31">
        <f t="shared" si="112"/>
        <v>244615.46000000002</v>
      </c>
    </row>
    <row r="324" spans="1:29" s="1" customFormat="1" ht="12">
      <c r="A324" s="34" t="str">
        <f>A285</f>
        <v>Capital (Supervielle)</v>
      </c>
      <c r="B324" s="81">
        <f>'[22]Flujos Vencimientos'!$B$17</f>
        <v>1987379.76</v>
      </c>
      <c r="C324" s="82">
        <f>'[22]Flujos Vencimientos'!$C$17</f>
        <v>102971.11</v>
      </c>
      <c r="D324" s="79"/>
      <c r="E324" s="80"/>
      <c r="F324" s="79"/>
      <c r="G324" s="80"/>
      <c r="H324" s="79"/>
      <c r="I324" s="80"/>
      <c r="J324" s="79"/>
      <c r="K324" s="80"/>
      <c r="L324" s="79"/>
      <c r="M324" s="80"/>
      <c r="N324" s="51">
        <f>B324+D324+F324+H324+J324+L324</f>
        <v>1987379.76</v>
      </c>
      <c r="O324" s="50">
        <f>C324+E324+G324+I324+K324+M324</f>
        <v>102971.11</v>
      </c>
      <c r="P324" s="79"/>
      <c r="Q324" s="80"/>
      <c r="R324" s="79"/>
      <c r="S324" s="80"/>
      <c r="T324" s="79"/>
      <c r="U324" s="80"/>
      <c r="V324" s="79"/>
      <c r="W324" s="80"/>
      <c r="X324" s="79"/>
      <c r="Y324" s="80"/>
      <c r="Z324" s="79"/>
      <c r="AA324" s="80"/>
      <c r="AB324" s="51">
        <f>+N324+P324+R324+T324+V324+X324+Z324</f>
        <v>1987379.76</v>
      </c>
      <c r="AC324" s="50">
        <f>O324+Q324+S324+U324+W324+Y324+AA324</f>
        <v>102971.11</v>
      </c>
    </row>
    <row r="325" spans="1:29" s="1" customFormat="1" ht="12">
      <c r="A325" s="34" t="str">
        <f>A286</f>
        <v>Maipú (ENOSHA)</v>
      </c>
      <c r="B325" s="81">
        <f>'[19]Flujo para el libro'!B$17</f>
        <v>54333.34</v>
      </c>
      <c r="C325" s="82">
        <f>'[19]Flujo para el libro'!C$17</f>
        <v>11650.54</v>
      </c>
      <c r="D325" s="81">
        <f>'[19]Flujo para el libro'!D$17</f>
        <v>54740.84</v>
      </c>
      <c r="E325" s="82">
        <f>'[19]Flujo para el libro'!E$17</f>
        <v>11243.04</v>
      </c>
      <c r="F325" s="81">
        <f>'[19]Flujo para el libro'!F$17</f>
        <v>55151.4</v>
      </c>
      <c r="G325" s="82">
        <f>'[19]Flujo para el libro'!G$17</f>
        <v>10832.48</v>
      </c>
      <c r="H325" s="81">
        <f>'[19]Flujo para el libro'!H$17</f>
        <v>55565.03</v>
      </c>
      <c r="I325" s="82">
        <f>'[19]Flujo para el libro'!I$17</f>
        <v>10418.85</v>
      </c>
      <c r="J325" s="81">
        <f>'[19]Flujo para el libro'!J$17</f>
        <v>55981.77</v>
      </c>
      <c r="K325" s="82">
        <f>'[19]Flujo para el libro'!K$17</f>
        <v>10002.11</v>
      </c>
      <c r="L325" s="81">
        <f>'[19]Flujo para el libro'!L$17</f>
        <v>56401.64</v>
      </c>
      <c r="M325" s="82">
        <f>'[19]Flujo para el libro'!M$17</f>
        <v>9582.24</v>
      </c>
      <c r="N325" s="51">
        <f t="shared" si="108"/>
        <v>332174.02</v>
      </c>
      <c r="O325" s="50">
        <f t="shared" si="109"/>
        <v>63729.259999999995</v>
      </c>
      <c r="P325" s="81">
        <f>'[19]Flujo para el libro'!N$17</f>
        <v>56824.65</v>
      </c>
      <c r="Q325" s="82">
        <f>'[19]Flujo para el libro'!O$17</f>
        <v>9159.23</v>
      </c>
      <c r="R325" s="81">
        <f>'[19]Flujo para el libro'!P$17</f>
        <v>57250.83</v>
      </c>
      <c r="S325" s="82">
        <f>'[19]Flujo para el libro'!Q$17</f>
        <v>8733.05</v>
      </c>
      <c r="T325" s="81">
        <f>'[19]Flujo para el libro'!R$17</f>
        <v>57680.21</v>
      </c>
      <c r="U325" s="82">
        <f>'[19]Flujo para el libro'!S$17</f>
        <v>8303.67</v>
      </c>
      <c r="V325" s="81">
        <f>'[19]Flujo para el libro'!T$17</f>
        <v>58112.82</v>
      </c>
      <c r="W325" s="82">
        <f>'[19]Flujo para el libro'!U$17</f>
        <v>7871.06</v>
      </c>
      <c r="X325" s="81">
        <f>'[19]Flujo para el libro'!V$17</f>
        <v>58548.66</v>
      </c>
      <c r="Y325" s="82">
        <f>'[19]Flujo para el libro'!W$17</f>
        <v>7435.22</v>
      </c>
      <c r="Z325" s="81">
        <f>'[19]Flujo para el libro'!X$17</f>
        <v>58987.78</v>
      </c>
      <c r="AA325" s="82">
        <f>'[19]Flujo para el libro'!Y$17</f>
        <v>6996.1</v>
      </c>
      <c r="AB325" s="51">
        <f t="shared" si="111"/>
        <v>679578.9700000001</v>
      </c>
      <c r="AC325" s="50">
        <f t="shared" si="112"/>
        <v>112227.59</v>
      </c>
    </row>
    <row r="326" spans="1:29" s="1" customFormat="1" ht="12">
      <c r="A326" s="34" t="s">
        <v>210</v>
      </c>
      <c r="B326" s="81"/>
      <c r="C326" s="82"/>
      <c r="D326" s="81"/>
      <c r="E326" s="82"/>
      <c r="F326" s="81">
        <f>'[14]Flujos Vencimientos'!$F$17</f>
        <v>349991.24</v>
      </c>
      <c r="G326" s="82">
        <f>'[14]Flujos Vencimientos'!$G$17</f>
        <v>29416.76</v>
      </c>
      <c r="H326" s="81"/>
      <c r="I326" s="82"/>
      <c r="J326" s="81"/>
      <c r="K326" s="82"/>
      <c r="L326" s="81"/>
      <c r="M326" s="82"/>
      <c r="N326" s="51">
        <f t="shared" si="108"/>
        <v>349991.24</v>
      </c>
      <c r="O326" s="50">
        <f t="shared" si="109"/>
        <v>29416.76</v>
      </c>
      <c r="P326" s="81"/>
      <c r="Q326" s="82"/>
      <c r="R326" s="81"/>
      <c r="S326" s="82"/>
      <c r="T326" s="81">
        <f>'[14]Flujos Vencimientos'!$R$17</f>
        <v>0</v>
      </c>
      <c r="U326" s="82">
        <f>'[14]Flujos Vencimientos'!$S$17</f>
        <v>0</v>
      </c>
      <c r="V326" s="81"/>
      <c r="W326" s="82"/>
      <c r="X326" s="81"/>
      <c r="Y326" s="82"/>
      <c r="Z326" s="81"/>
      <c r="AA326" s="82"/>
      <c r="AB326" s="51">
        <f t="shared" si="111"/>
        <v>349991.24</v>
      </c>
      <c r="AC326" s="50">
        <f t="shared" si="112"/>
        <v>29416.76</v>
      </c>
    </row>
    <row r="327" spans="1:29" s="1" customFormat="1" ht="12.75" thickBot="1">
      <c r="A327" s="34" t="str">
        <f>A288</f>
        <v>Tupungato (DAABO)</v>
      </c>
      <c r="B327" s="291">
        <f>'[1]Flujos Vencimientos'!B$17</f>
        <v>9836</v>
      </c>
      <c r="C327" s="292"/>
      <c r="D327" s="291">
        <f>'[1]Flujos Vencimientos'!D$17</f>
        <v>9836</v>
      </c>
      <c r="E327" s="292"/>
      <c r="F327" s="291">
        <f>'[1]Flujos Vencimientos'!F$17</f>
        <v>9836</v>
      </c>
      <c r="G327" s="292"/>
      <c r="H327" s="291">
        <f>'[1]Flujos Vencimientos'!H$17</f>
        <v>9836</v>
      </c>
      <c r="I327" s="292"/>
      <c r="J327" s="291">
        <f>'[1]Flujos Vencimientos'!J$17</f>
        <v>9836</v>
      </c>
      <c r="K327" s="292"/>
      <c r="L327" s="291">
        <f>'[1]Flujos Vencimientos'!L$17</f>
        <v>9836</v>
      </c>
      <c r="M327" s="292"/>
      <c r="N327" s="51">
        <f t="shared" si="108"/>
        <v>59016</v>
      </c>
      <c r="O327" s="50">
        <f t="shared" si="109"/>
        <v>0</v>
      </c>
      <c r="P327" s="291">
        <f>'[1]Flujos Vencimientos'!N$17</f>
        <v>9836</v>
      </c>
      <c r="Q327" s="292"/>
      <c r="R327" s="291">
        <f>'[1]Flujos Vencimientos'!P$17</f>
        <v>9836</v>
      </c>
      <c r="S327" s="292"/>
      <c r="T327" s="291">
        <f>'[1]Flujos Vencimientos'!R$17</f>
        <v>9836</v>
      </c>
      <c r="U327" s="292"/>
      <c r="V327" s="291">
        <f>'[1]Flujos Vencimientos'!T$17</f>
        <v>9836</v>
      </c>
      <c r="W327" s="292"/>
      <c r="X327" s="291">
        <f>'[1]Flujos Vencimientos'!V$17</f>
        <v>9836</v>
      </c>
      <c r="Y327" s="292"/>
      <c r="Z327" s="291">
        <f>'[1]Flujos Vencimientos'!X$17</f>
        <v>9836</v>
      </c>
      <c r="AA327" s="292"/>
      <c r="AB327" s="51">
        <f t="shared" si="111"/>
        <v>118032</v>
      </c>
      <c r="AC327" s="50">
        <f t="shared" si="112"/>
        <v>0</v>
      </c>
    </row>
    <row r="328" spans="1:29" s="42" customFormat="1" ht="12.75" thickBot="1">
      <c r="A328" s="30" t="s">
        <v>121</v>
      </c>
      <c r="B328" s="28">
        <f>+B312+B317+B319+B323</f>
        <v>3013664.53</v>
      </c>
      <c r="C328" s="27">
        <f>+C312+C317+C319+C323</f>
        <v>185579.09999999998</v>
      </c>
      <c r="D328" s="28">
        <f aca="true" t="shared" si="118" ref="D328:M328">+D312+D317+D319+D323</f>
        <v>1034773.49</v>
      </c>
      <c r="E328" s="27">
        <f t="shared" si="118"/>
        <v>71576.18</v>
      </c>
      <c r="F328" s="28">
        <f t="shared" si="118"/>
        <v>1176127.0099999998</v>
      </c>
      <c r="G328" s="27">
        <f t="shared" si="118"/>
        <v>102129.82</v>
      </c>
      <c r="H328" s="28">
        <f t="shared" si="118"/>
        <v>831536.4900000001</v>
      </c>
      <c r="I328" s="27">
        <f t="shared" si="118"/>
        <v>68971.95000000001</v>
      </c>
      <c r="J328" s="28">
        <f t="shared" si="118"/>
        <v>836974.83</v>
      </c>
      <c r="K328" s="27">
        <f t="shared" si="118"/>
        <v>69113.43</v>
      </c>
      <c r="L328" s="28">
        <f t="shared" si="118"/>
        <v>842451.0800000001</v>
      </c>
      <c r="M328" s="27">
        <f t="shared" si="118"/>
        <v>65423.32</v>
      </c>
      <c r="N328" s="28">
        <f t="shared" si="108"/>
        <v>7735527.43</v>
      </c>
      <c r="O328" s="27">
        <f t="shared" si="109"/>
        <v>562793.7999999999</v>
      </c>
      <c r="P328" s="28">
        <f aca="true" t="shared" si="119" ref="P328:AA328">+P312+P317+P319+P323</f>
        <v>847965.41</v>
      </c>
      <c r="Q328" s="27">
        <f t="shared" si="119"/>
        <v>65434.869999999995</v>
      </c>
      <c r="R328" s="28">
        <f t="shared" si="119"/>
        <v>853518.0899999999</v>
      </c>
      <c r="S328" s="27">
        <f t="shared" si="119"/>
        <v>63565.520000000004</v>
      </c>
      <c r="T328" s="28">
        <f t="shared" si="119"/>
        <v>859109.33</v>
      </c>
      <c r="U328" s="27">
        <f t="shared" si="119"/>
        <v>59954.55</v>
      </c>
      <c r="V328" s="28">
        <f t="shared" si="119"/>
        <v>864739.3799999999</v>
      </c>
      <c r="W328" s="27">
        <f t="shared" si="119"/>
        <v>59765.58</v>
      </c>
      <c r="X328" s="28">
        <f t="shared" si="119"/>
        <v>870408.43</v>
      </c>
      <c r="Y328" s="27">
        <f t="shared" si="119"/>
        <v>56209.119999999995</v>
      </c>
      <c r="Z328" s="28">
        <f t="shared" si="119"/>
        <v>876116.7599999999</v>
      </c>
      <c r="AA328" s="27">
        <f t="shared" si="119"/>
        <v>55882.719999999994</v>
      </c>
      <c r="AB328" s="28">
        <f t="shared" si="111"/>
        <v>12907384.83</v>
      </c>
      <c r="AC328" s="27">
        <f t="shared" si="112"/>
        <v>923606.1599999999</v>
      </c>
    </row>
    <row r="329" spans="1:29" s="295" customFormat="1" ht="6" customHeight="1" thickBot="1">
      <c r="A329" s="77"/>
      <c r="B329" s="294"/>
      <c r="C329" s="294"/>
      <c r="D329" s="294"/>
      <c r="E329" s="294"/>
      <c r="F329" s="294"/>
      <c r="G329" s="294"/>
      <c r="H329" s="294"/>
      <c r="I329" s="294"/>
      <c r="J329" s="294"/>
      <c r="K329" s="294"/>
      <c r="L329" s="294"/>
      <c r="M329" s="294"/>
      <c r="N329" s="294"/>
      <c r="O329" s="294"/>
      <c r="P329" s="294"/>
      <c r="Q329" s="294"/>
      <c r="R329" s="294"/>
      <c r="S329" s="294"/>
      <c r="T329" s="294"/>
      <c r="U329" s="294"/>
      <c r="V329" s="294"/>
      <c r="W329" s="294"/>
      <c r="X329" s="294"/>
      <c r="Y329" s="294"/>
      <c r="Z329" s="294"/>
      <c r="AA329" s="294"/>
      <c r="AB329" s="294"/>
      <c r="AC329" s="294"/>
    </row>
    <row r="330" spans="1:29" ht="15.75" thickBot="1">
      <c r="A330" s="87" t="s">
        <v>93</v>
      </c>
      <c r="B330" s="28">
        <f>+B309+B328</f>
        <v>3851771.4099999997</v>
      </c>
      <c r="C330" s="27">
        <f aca="true" t="shared" si="120" ref="C330:M330">+C309+C328</f>
        <v>270997.06999999995</v>
      </c>
      <c r="D330" s="28">
        <f t="shared" si="120"/>
        <v>1875916.63</v>
      </c>
      <c r="E330" s="27">
        <f t="shared" si="120"/>
        <v>147716.88</v>
      </c>
      <c r="F330" s="28">
        <f t="shared" si="120"/>
        <v>2020317.7899999996</v>
      </c>
      <c r="G330" s="27">
        <f t="shared" si="120"/>
        <v>185299.91</v>
      </c>
      <c r="H330" s="28">
        <f t="shared" si="120"/>
        <v>1678785.5900000003</v>
      </c>
      <c r="I330" s="27">
        <f t="shared" si="120"/>
        <v>148358.13</v>
      </c>
      <c r="J330" s="28">
        <f t="shared" si="120"/>
        <v>1687293.7000000002</v>
      </c>
      <c r="K330" s="27">
        <f t="shared" si="120"/>
        <v>149998.71</v>
      </c>
      <c r="L330" s="28">
        <f t="shared" si="120"/>
        <v>1695850.4700000002</v>
      </c>
      <c r="M330" s="27">
        <f t="shared" si="120"/>
        <v>142580.03</v>
      </c>
      <c r="N330" s="28">
        <f>B330+D330+F330+H330+J330+L330</f>
        <v>12809935.589999998</v>
      </c>
      <c r="O330" s="27">
        <f>C330+E330+G330+I330+K330+M330</f>
        <v>1044950.73</v>
      </c>
      <c r="P330" s="28">
        <f aca="true" t="shared" si="121" ref="P330:AA330">+P309+P328</f>
        <v>1704456.87</v>
      </c>
      <c r="Q330" s="27">
        <f t="shared" si="121"/>
        <v>143997.38</v>
      </c>
      <c r="R330" s="28">
        <f t="shared" si="121"/>
        <v>1713112.4099999997</v>
      </c>
      <c r="S330" s="27">
        <f t="shared" si="121"/>
        <v>140952.51</v>
      </c>
      <c r="T330" s="28">
        <f t="shared" si="121"/>
        <v>1721818.17</v>
      </c>
      <c r="U330" s="27">
        <f t="shared" si="121"/>
        <v>133698.46</v>
      </c>
      <c r="V330" s="28">
        <f t="shared" si="121"/>
        <v>1730573.5999999996</v>
      </c>
      <c r="W330" s="27">
        <f t="shared" si="121"/>
        <v>134772.88</v>
      </c>
      <c r="X330" s="28">
        <f t="shared" si="121"/>
        <v>1739379.7599999998</v>
      </c>
      <c r="Y330" s="27">
        <f t="shared" si="121"/>
        <v>127631.36</v>
      </c>
      <c r="Z330" s="28">
        <f t="shared" si="121"/>
        <v>1748236.17</v>
      </c>
      <c r="AA330" s="27">
        <f t="shared" si="121"/>
        <v>128471.75</v>
      </c>
      <c r="AB330" s="28">
        <f>+N330+P330+R330+T330+V330+X330+Z330</f>
        <v>23167512.57</v>
      </c>
      <c r="AC330" s="27">
        <f>O330+Q330+S330+U330+W330+Y330+AA330</f>
        <v>1854475.07</v>
      </c>
    </row>
    <row r="333" spans="1:30" ht="27" thickBot="1">
      <c r="A333" s="21"/>
      <c r="B333" s="21"/>
      <c r="C333" s="21"/>
      <c r="D333" s="21"/>
      <c r="E333" s="21"/>
      <c r="F333" s="21"/>
      <c r="G333" s="21"/>
      <c r="H333" s="22" t="s">
        <v>140</v>
      </c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2" t="str">
        <f>H333</f>
        <v>AÑO 2018</v>
      </c>
      <c r="W333" s="21"/>
      <c r="X333" s="21"/>
      <c r="Y333" s="21"/>
      <c r="Z333" s="21"/>
      <c r="AA333" s="21"/>
      <c r="AB333" s="755"/>
      <c r="AC333" s="755"/>
      <c r="AD333" s="16" t="str">
        <f>V333</f>
        <v>AÑO 2018</v>
      </c>
    </row>
    <row r="334" spans="1:29" s="42" customFormat="1" ht="12.75" thickBot="1">
      <c r="A334" s="45" t="s">
        <v>96</v>
      </c>
      <c r="B334" s="44"/>
      <c r="C334" s="44"/>
      <c r="D334" s="44"/>
      <c r="E334" s="44"/>
      <c r="F334" s="44"/>
      <c r="G334" s="44"/>
      <c r="H334" s="44" t="s">
        <v>144</v>
      </c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 t="str">
        <f>H334</f>
        <v>TOMADOS EN DOLARES</v>
      </c>
      <c r="W334" s="44"/>
      <c r="X334" s="44"/>
      <c r="Y334" s="44"/>
      <c r="Z334" s="44"/>
      <c r="AA334" s="44"/>
      <c r="AB334" s="44"/>
      <c r="AC334" s="52"/>
    </row>
    <row r="335" spans="1:29" ht="12.75">
      <c r="A335" s="75" t="s">
        <v>122</v>
      </c>
      <c r="B335" s="69">
        <f>SUM(B336:B347)</f>
        <v>875279.3200000001</v>
      </c>
      <c r="C335" s="70">
        <f>SUM(C336:C347)</f>
        <v>71365.27</v>
      </c>
      <c r="D335" s="69">
        <f aca="true" t="shared" si="122" ref="D335:M335">SUM(D336:D347)</f>
        <v>878450.28</v>
      </c>
      <c r="E335" s="70">
        <f t="shared" si="122"/>
        <v>63344.740000000005</v>
      </c>
      <c r="F335" s="69">
        <f t="shared" si="122"/>
        <v>881633.0799999998</v>
      </c>
      <c r="G335" s="70">
        <f t="shared" si="122"/>
        <v>68888.13</v>
      </c>
      <c r="H335" s="69">
        <f t="shared" si="122"/>
        <v>884827.0299999999</v>
      </c>
      <c r="I335" s="70">
        <f t="shared" si="122"/>
        <v>65452.9</v>
      </c>
      <c r="J335" s="69">
        <f t="shared" si="122"/>
        <v>888032.98</v>
      </c>
      <c r="K335" s="70">
        <f t="shared" si="122"/>
        <v>66371.25</v>
      </c>
      <c r="L335" s="69">
        <f t="shared" si="122"/>
        <v>891250.1000000001</v>
      </c>
      <c r="M335" s="70">
        <f t="shared" si="122"/>
        <v>62998.01000000001</v>
      </c>
      <c r="N335" s="69">
        <f aca="true" t="shared" si="123" ref="N335:N348">B335+D335+F335+H335+J335+L335</f>
        <v>5299472.789999999</v>
      </c>
      <c r="O335" s="70">
        <f aca="true" t="shared" si="124" ref="O335:O348">C335+E335+G335+I335+K335+M335</f>
        <v>398420.30000000005</v>
      </c>
      <c r="P335" s="69">
        <f aca="true" t="shared" si="125" ref="P335:AA335">SUM(P336:P347)</f>
        <v>894479.31</v>
      </c>
      <c r="Q335" s="70">
        <f t="shared" si="125"/>
        <v>63814.270000000004</v>
      </c>
      <c r="R335" s="69">
        <f t="shared" si="125"/>
        <v>897719.8099999999</v>
      </c>
      <c r="S335" s="70">
        <f t="shared" si="125"/>
        <v>62520.640000000014</v>
      </c>
      <c r="T335" s="69">
        <f t="shared" si="125"/>
        <v>900972.44</v>
      </c>
      <c r="U335" s="70">
        <f t="shared" si="125"/>
        <v>59241.88999999999</v>
      </c>
      <c r="V335" s="69">
        <f t="shared" si="125"/>
        <v>904236.46</v>
      </c>
      <c r="W335" s="70">
        <f t="shared" si="125"/>
        <v>59902.54</v>
      </c>
      <c r="X335" s="69">
        <f t="shared" si="125"/>
        <v>907512.7300000001</v>
      </c>
      <c r="Y335" s="70">
        <f t="shared" si="125"/>
        <v>56688.42999999999</v>
      </c>
      <c r="Z335" s="69">
        <f t="shared" si="125"/>
        <v>910800.4400000001</v>
      </c>
      <c r="AA335" s="70">
        <f t="shared" si="125"/>
        <v>57243.09000000001</v>
      </c>
      <c r="AB335" s="69">
        <f aca="true" t="shared" si="126" ref="AB335:AB348">+N335+P335+R335+T335+V335+X335+Z335</f>
        <v>10715193.979999999</v>
      </c>
      <c r="AC335" s="70">
        <f aca="true" t="shared" si="127" ref="AC335:AC348">O335+Q335+S335+U335+W335+Y335+AA335</f>
        <v>757831.16</v>
      </c>
    </row>
    <row r="336" spans="1:29" ht="12.75">
      <c r="A336" s="34" t="s">
        <v>1</v>
      </c>
      <c r="B336" s="67">
        <f>'[24]Flujo Vencimientos'!B$18</f>
        <v>94440.26</v>
      </c>
      <c r="C336" s="68">
        <f>'[24]Flujo Vencimientos'!C$18</f>
        <v>7700.099999999999</v>
      </c>
      <c r="D336" s="67">
        <f>'[24]Flujo Vencimientos'!D$18</f>
        <v>94782.35</v>
      </c>
      <c r="E336" s="68">
        <f>'[24]Flujo Vencimientos'!E$18</f>
        <v>6834.6900000000005</v>
      </c>
      <c r="F336" s="67">
        <f>'[24]Flujo Vencimientos'!F$18</f>
        <v>95125.81</v>
      </c>
      <c r="G336" s="68">
        <f>'[24]Flujo Vencimientos'!G$18</f>
        <v>7432.84</v>
      </c>
      <c r="H336" s="67">
        <f>'[24]Flujo Vencimientos'!H$18</f>
        <v>95470.39</v>
      </c>
      <c r="I336" s="68">
        <f>'[24]Flujo Vencimientos'!I$18</f>
        <v>7062.18</v>
      </c>
      <c r="J336" s="67">
        <f>'[24]Flujo Vencimientos'!J$18</f>
        <v>95816.35</v>
      </c>
      <c r="K336" s="68">
        <f>'[24]Flujo Vencimientos'!K$18</f>
        <v>7161.29</v>
      </c>
      <c r="L336" s="67">
        <f>'[24]Flujo Vencimientos'!L$18</f>
        <v>96163.42000000001</v>
      </c>
      <c r="M336" s="68">
        <f>'[24]Flujo Vencimientos'!M$18</f>
        <v>6797.320000000001</v>
      </c>
      <c r="N336" s="73">
        <f t="shared" si="123"/>
        <v>571798.5800000001</v>
      </c>
      <c r="O336" s="74">
        <f t="shared" si="124"/>
        <v>42988.42</v>
      </c>
      <c r="P336" s="67">
        <f>'[24]Flujo Vencimientos'!N$18</f>
        <v>96511.89</v>
      </c>
      <c r="Q336" s="68">
        <f>'[24]Flujo Vencimientos'!O$18</f>
        <v>6885.41</v>
      </c>
      <c r="R336" s="67">
        <f>'[24]Flujo Vencimientos'!P$18</f>
        <v>96861.48000000001</v>
      </c>
      <c r="S336" s="68">
        <f>'[24]Flujo Vencimientos'!Q$18</f>
        <v>6745.83</v>
      </c>
      <c r="T336" s="67">
        <f>'[24]Flujo Vencimientos'!R$18</f>
        <v>97212.48</v>
      </c>
      <c r="U336" s="68">
        <f>'[24]Flujo Vencimientos'!S$18</f>
        <v>6392.03</v>
      </c>
      <c r="V336" s="67">
        <f>'[24]Flujo Vencimientos'!T$18</f>
        <v>97564.61</v>
      </c>
      <c r="W336" s="68">
        <f>'[24]Flujo Vencimientos'!U$18</f>
        <v>6463.3</v>
      </c>
      <c r="X336" s="67">
        <f>'[24]Flujo Vencimientos'!V$18</f>
        <v>97918.16</v>
      </c>
      <c r="Y336" s="68">
        <f>'[24]Flujo Vencimientos'!W$18</f>
        <v>6116.54</v>
      </c>
      <c r="Z336" s="67">
        <f>'[24]Flujo Vencimientos'!X$18</f>
        <v>98272.85</v>
      </c>
      <c r="AA336" s="68">
        <f>'[24]Flujo Vencimientos'!Y$18</f>
        <v>6176.37</v>
      </c>
      <c r="AB336" s="73">
        <f t="shared" si="126"/>
        <v>1156140.05</v>
      </c>
      <c r="AC336" s="74">
        <f t="shared" si="127"/>
        <v>81767.9</v>
      </c>
    </row>
    <row r="337" spans="1:29" ht="12.75">
      <c r="A337" s="34" t="s">
        <v>21</v>
      </c>
      <c r="B337" s="67">
        <f>'[26]Flujo de Vencimientos'!B$18</f>
        <v>57157.82</v>
      </c>
      <c r="C337" s="68">
        <f>'[26]Flujo de Vencimientos'!C$18</f>
        <v>4660.3099999999995</v>
      </c>
      <c r="D337" s="67">
        <f>'[26]Flujo de Vencimientos'!D$18</f>
        <v>57364.9</v>
      </c>
      <c r="E337" s="68">
        <f>'[26]Flujo de Vencimientos'!E$18</f>
        <v>4136.56</v>
      </c>
      <c r="F337" s="67">
        <f>'[26]Flujo de Vencimientos'!F$18</f>
        <v>57572.729999999996</v>
      </c>
      <c r="G337" s="68">
        <f>'[26]Flujo de Vencimientos'!G$18</f>
        <v>4498.55</v>
      </c>
      <c r="H337" s="67">
        <f>'[26]Flujo de Vencimientos'!H$18</f>
        <v>57781.32</v>
      </c>
      <c r="I337" s="68">
        <f>'[26]Flujo de Vencimientos'!I$18</f>
        <v>4274.25</v>
      </c>
      <c r="J337" s="67">
        <f>'[26]Flujo de Vencimientos'!J$18</f>
        <v>57990.659999999996</v>
      </c>
      <c r="K337" s="68">
        <f>'[26]Flujo de Vencimientos'!K$18</f>
        <v>4334.18</v>
      </c>
      <c r="L337" s="67">
        <f>'[26]Flujo de Vencimientos'!L$18</f>
        <v>58200.759999999995</v>
      </c>
      <c r="M337" s="68">
        <f>'[26]Flujo de Vencimientos'!M$18</f>
        <v>4113.89</v>
      </c>
      <c r="N337" s="73">
        <f t="shared" si="123"/>
        <v>346068.19</v>
      </c>
      <c r="O337" s="74">
        <f t="shared" si="124"/>
        <v>26017.739999999998</v>
      </c>
      <c r="P337" s="67">
        <f>'[26]Flujo de Vencimientos'!N$18</f>
        <v>58411.619999999995</v>
      </c>
      <c r="Q337" s="68">
        <f>'[26]Flujo de Vencimientos'!O$18</f>
        <v>4167.2</v>
      </c>
      <c r="R337" s="67">
        <f>'[26]Flujo de Vencimientos'!P$18</f>
        <v>58623.25</v>
      </c>
      <c r="S337" s="68">
        <f>'[26]Flujo de Vencimientos'!Q$18</f>
        <v>4082.75</v>
      </c>
      <c r="T337" s="67">
        <f>'[26]Flujo de Vencimientos'!R$18</f>
        <v>58835.64</v>
      </c>
      <c r="U337" s="68">
        <f>'[26]Flujo de Vencimientos'!S$18</f>
        <v>3868.6200000000003</v>
      </c>
      <c r="V337" s="67">
        <f>'[26]Flujo de Vencimientos'!T$18</f>
        <v>59048.799999999996</v>
      </c>
      <c r="W337" s="68">
        <f>'[26]Flujo de Vencimientos'!U$18</f>
        <v>3911.77</v>
      </c>
      <c r="X337" s="67">
        <f>'[26]Flujo de Vencimientos'!V$18</f>
        <v>59262.74</v>
      </c>
      <c r="Y337" s="68">
        <f>'[26]Flujo de Vencimientos'!W$18</f>
        <v>3701.89</v>
      </c>
      <c r="Z337" s="67">
        <f>'[26]Flujo de Vencimientos'!X$18</f>
        <v>59477.439999999995</v>
      </c>
      <c r="AA337" s="68">
        <f>'[26]Flujo de Vencimientos'!Y$18</f>
        <v>3738.1000000000004</v>
      </c>
      <c r="AB337" s="73">
        <f t="shared" si="126"/>
        <v>699727.6799999999</v>
      </c>
      <c r="AC337" s="74">
        <f t="shared" si="127"/>
        <v>49488.07</v>
      </c>
    </row>
    <row r="338" spans="1:29" ht="12.75">
      <c r="A338" s="34" t="s">
        <v>22</v>
      </c>
      <c r="B338" s="67">
        <f>'[41]Flujo Vencimientos'!B$18</f>
        <v>89922.52</v>
      </c>
      <c r="C338" s="68">
        <f>'[41]Flujo Vencimientos'!C$18</f>
        <v>7331.79</v>
      </c>
      <c r="D338" s="67">
        <f>'[41]Flujo Vencimientos'!D$18</f>
        <v>90248.25</v>
      </c>
      <c r="E338" s="68">
        <f>'[41]Flujo Vencimientos'!E$18</f>
        <v>6507.77</v>
      </c>
      <c r="F338" s="67">
        <f>'[41]Flujo Vencimientos'!F$18</f>
        <v>90575.28</v>
      </c>
      <c r="G338" s="68">
        <f>'[41]Flujo Vencimientos'!G$18</f>
        <v>7077.25</v>
      </c>
      <c r="H338" s="67">
        <f>'[41]Flujo Vencimientos'!H$18</f>
        <v>90903.37</v>
      </c>
      <c r="I338" s="68">
        <f>'[41]Flujo Vencimientos'!I$18</f>
        <v>6724.33</v>
      </c>
      <c r="J338" s="67">
        <f>'[41]Flujo Vencimientos'!J$18</f>
        <v>91232.78</v>
      </c>
      <c r="K338" s="68">
        <f>'[41]Flujo Vencimientos'!K$18</f>
        <v>6818.69</v>
      </c>
      <c r="L338" s="67">
        <f>'[41]Flujo Vencimientos'!L$18</f>
        <v>91563.25</v>
      </c>
      <c r="M338" s="68">
        <f>'[41]Flujo Vencimientos'!M$18</f>
        <v>6472.179999999999</v>
      </c>
      <c r="N338" s="73">
        <f t="shared" si="123"/>
        <v>544445.4500000001</v>
      </c>
      <c r="O338" s="74">
        <f t="shared" si="124"/>
        <v>40932.01</v>
      </c>
      <c r="P338" s="67">
        <f>'[41]Flujo Vencimientos'!N$18</f>
        <v>91895.05</v>
      </c>
      <c r="Q338" s="68">
        <f>'[41]Flujo Vencimientos'!O$18</f>
        <v>6556.01</v>
      </c>
      <c r="R338" s="67">
        <f>'[41]Flujo Vencimientos'!P$18</f>
        <v>92227.92</v>
      </c>
      <c r="S338" s="68">
        <f>'[41]Flujo Vencimientos'!Q$18</f>
        <v>6423.11</v>
      </c>
      <c r="T338" s="67">
        <f>'[41]Flujo Vencimientos'!R$18</f>
        <v>92562.13</v>
      </c>
      <c r="U338" s="68">
        <f>'[41]Flujo Vencimientos'!S$18</f>
        <v>6086.29</v>
      </c>
      <c r="V338" s="67">
        <f>'[41]Flujo Vencimientos'!T$18</f>
        <v>92897.40999999999</v>
      </c>
      <c r="W338" s="68">
        <f>'[41]Flujo Vencimientos'!U$18</f>
        <v>6154.14</v>
      </c>
      <c r="X338" s="67">
        <f>'[41]Flujo Vencimientos'!V$18</f>
        <v>93234.05</v>
      </c>
      <c r="Y338" s="68">
        <f>'[41]Flujo Vencimientos'!W$18</f>
        <v>5823.94</v>
      </c>
      <c r="Z338" s="67">
        <f>'[41]Flujo Vencimientos'!X$18</f>
        <v>93571.76999999999</v>
      </c>
      <c r="AA338" s="68">
        <f>'[41]Flujo Vencimientos'!Y$18</f>
        <v>5880.9400000000005</v>
      </c>
      <c r="AB338" s="73">
        <f t="shared" si="126"/>
        <v>1100833.7800000003</v>
      </c>
      <c r="AC338" s="74">
        <f t="shared" si="127"/>
        <v>77856.44000000002</v>
      </c>
    </row>
    <row r="339" spans="1:29" ht="12.75">
      <c r="A339" s="34" t="s">
        <v>16</v>
      </c>
      <c r="B339" s="67">
        <f>'[39]Flujo Vencimiento'!B$18</f>
        <v>192695.16</v>
      </c>
      <c r="C339" s="68">
        <f>'[39]Flujo Vencimiento'!C$18</f>
        <v>15711.25</v>
      </c>
      <c r="D339" s="67">
        <f>'[39]Flujo Vencimiento'!D$18</f>
        <v>193393.22999999998</v>
      </c>
      <c r="E339" s="68">
        <f>'[39]Flujo Vencimiento'!E$18</f>
        <v>13945.5</v>
      </c>
      <c r="F339" s="67">
        <f>'[39]Flujo Vencimiento'!F$18</f>
        <v>194093.96</v>
      </c>
      <c r="G339" s="68">
        <f>'[39]Flujo Vencimiento'!G$18</f>
        <v>15165.91</v>
      </c>
      <c r="H339" s="67">
        <f>'[39]Flujo Vencimiento'!H$18</f>
        <v>194797.09</v>
      </c>
      <c r="I339" s="68">
        <f>'[39]Flujo Vencimiento'!I$18</f>
        <v>14409.65</v>
      </c>
      <c r="J339" s="67">
        <f>'[39]Flujo Vencimiento'!J$18</f>
        <v>195502.91</v>
      </c>
      <c r="K339" s="68">
        <f>'[39]Flujo Vencimiento'!K$18</f>
        <v>14611.83</v>
      </c>
      <c r="L339" s="67">
        <f>'[39]Flujo Vencimiento'!L$18</f>
        <v>196211.15</v>
      </c>
      <c r="M339" s="68">
        <f>'[39]Flujo Vencimiento'!M$18</f>
        <v>13869.17</v>
      </c>
      <c r="N339" s="73">
        <f t="shared" si="123"/>
        <v>1166693.5</v>
      </c>
      <c r="O339" s="74">
        <f t="shared" si="124"/>
        <v>87713.31</v>
      </c>
      <c r="P339" s="67">
        <f>'[39]Flujo Vencimiento'!N$18</f>
        <v>196922.09</v>
      </c>
      <c r="Q339" s="68">
        <f>'[39]Flujo Vencimiento'!O$18</f>
        <v>14048.900000000001</v>
      </c>
      <c r="R339" s="67">
        <f>'[39]Flujo Vencimiento'!P$18</f>
        <v>197635.47</v>
      </c>
      <c r="S339" s="68">
        <f>'[39]Flujo Vencimiento'!Q$18</f>
        <v>13764.09</v>
      </c>
      <c r="T339" s="67">
        <f>'[39]Flujo Vencimiento'!R$18</f>
        <v>198351.57</v>
      </c>
      <c r="U339" s="68">
        <f>'[39]Flujo Vencimiento'!S$18</f>
        <v>13042.28</v>
      </c>
      <c r="V339" s="67">
        <f>'[39]Flujo Vencimiento'!T$18</f>
        <v>199070.13</v>
      </c>
      <c r="W339" s="68">
        <f>'[39]Flujo Vencimiento'!U$18</f>
        <v>13187.71</v>
      </c>
      <c r="X339" s="67">
        <f>'[39]Flujo Vencimiento'!V$18</f>
        <v>199791.43</v>
      </c>
      <c r="Y339" s="68">
        <f>'[39]Flujo Vencimiento'!W$18</f>
        <v>12480.109999999999</v>
      </c>
      <c r="Z339" s="67">
        <f>'[39]Flujo Vencimiento'!X$18</f>
        <v>200515.21</v>
      </c>
      <c r="AA339" s="68">
        <f>'[39]Flujo Vencimiento'!Y$18</f>
        <v>12602.23</v>
      </c>
      <c r="AB339" s="73">
        <f t="shared" si="126"/>
        <v>2358979.4000000004</v>
      </c>
      <c r="AC339" s="74">
        <f t="shared" si="127"/>
        <v>166838.62999999998</v>
      </c>
    </row>
    <row r="340" spans="1:29" ht="12.75">
      <c r="A340" s="34" t="s">
        <v>15</v>
      </c>
      <c r="B340" s="67">
        <f>'[36]Flujo de Vencimientos'!B$18</f>
        <v>18829.67</v>
      </c>
      <c r="C340" s="68">
        <f>'[36]Flujo de Vencimientos'!C$18</f>
        <v>1535.27</v>
      </c>
      <c r="D340" s="67">
        <f>'[36]Flujo de Vencimientos'!D$18</f>
        <v>18897.96</v>
      </c>
      <c r="E340" s="68">
        <f>'[36]Flujo de Vencimientos'!E$18</f>
        <v>1362.73</v>
      </c>
      <c r="F340" s="67">
        <f>'[36]Flujo de Vencimientos'!F$18</f>
        <v>18966.36</v>
      </c>
      <c r="G340" s="68">
        <f>'[36]Flujo de Vencimientos'!G$18</f>
        <v>1481.9399999999998</v>
      </c>
      <c r="H340" s="67">
        <f>'[36]Flujo de Vencimientos'!H$18</f>
        <v>19035.14</v>
      </c>
      <c r="I340" s="68">
        <f>'[36]Flujo de Vencimientos'!I$18</f>
        <v>1408.0900000000001</v>
      </c>
      <c r="J340" s="67">
        <f>'[36]Flujo de Vencimientos'!J$18</f>
        <v>19104.04</v>
      </c>
      <c r="K340" s="68">
        <f>'[36]Flujo de Vencimientos'!K$18</f>
        <v>1427.83</v>
      </c>
      <c r="L340" s="67">
        <f>'[36]Flujo de Vencimientos'!L$18</f>
        <v>19173.32</v>
      </c>
      <c r="M340" s="68">
        <f>'[36]Flujo de Vencimientos'!M$18</f>
        <v>1355.27</v>
      </c>
      <c r="N340" s="73">
        <f t="shared" si="123"/>
        <v>114006.49000000002</v>
      </c>
      <c r="O340" s="74">
        <f t="shared" si="124"/>
        <v>8571.13</v>
      </c>
      <c r="P340" s="67">
        <f>'[36]Flujo de Vencimientos'!N$18</f>
        <v>19242.72</v>
      </c>
      <c r="Q340" s="68">
        <f>'[36]Flujo de Vencimientos'!O$18</f>
        <v>1372.85</v>
      </c>
      <c r="R340" s="67">
        <f>'[36]Flujo de Vencimientos'!P$18</f>
        <v>19312.5</v>
      </c>
      <c r="S340" s="68">
        <f>'[36]Flujo de Vencimientos'!Q$18</f>
        <v>1345</v>
      </c>
      <c r="T340" s="67">
        <f>'[36]Flujo de Vencimientos'!R$18</f>
        <v>19382.4</v>
      </c>
      <c r="U340" s="68">
        <f>'[36]Flujo de Vencimientos'!S$18</f>
        <v>1274.46</v>
      </c>
      <c r="V340" s="67">
        <f>'[36]Flujo de Vencimientos'!T$18</f>
        <v>19452.69</v>
      </c>
      <c r="W340" s="68">
        <f>'[36]Flujo de Vencimientos'!U$18</f>
        <v>1288.7</v>
      </c>
      <c r="X340" s="67">
        <f>'[36]Flujo de Vencimientos'!V$18</f>
        <v>19523.1</v>
      </c>
      <c r="Y340" s="68">
        <f>'[36]Flujo de Vencimientos'!W$18</f>
        <v>1219.53</v>
      </c>
      <c r="Z340" s="67">
        <f>'[36]Flujo de Vencimientos'!X$18</f>
        <v>19593.9</v>
      </c>
      <c r="AA340" s="68">
        <f>'[36]Flujo de Vencimientos'!Y$18</f>
        <v>1231.45</v>
      </c>
      <c r="AB340" s="73">
        <f t="shared" si="126"/>
        <v>230513.80000000002</v>
      </c>
      <c r="AC340" s="74">
        <f t="shared" si="127"/>
        <v>16303.12</v>
      </c>
    </row>
    <row r="341" spans="1:29" ht="12.75">
      <c r="A341" s="34" t="s">
        <v>14</v>
      </c>
      <c r="B341" s="67">
        <f>'[34]Flujo de Vencimiento'!B$18</f>
        <v>12222.689999999999</v>
      </c>
      <c r="C341" s="68">
        <f>'[34]Flujo de Vencimiento'!C$18</f>
        <v>996.58</v>
      </c>
      <c r="D341" s="67">
        <f>'[34]Flujo de Vencimiento'!D$18</f>
        <v>12266.91</v>
      </c>
      <c r="E341" s="68">
        <f>'[34]Flujo de Vencimiento'!E$18</f>
        <v>884.55</v>
      </c>
      <c r="F341" s="67">
        <f>'[34]Flujo de Vencimiento'!F$18</f>
        <v>12311.42</v>
      </c>
      <c r="G341" s="68">
        <f>'[34]Flujo de Vencimiento'!G$18</f>
        <v>962</v>
      </c>
      <c r="H341" s="67">
        <f>'[34]Flujo de Vencimiento'!H$18</f>
        <v>12355.949999999999</v>
      </c>
      <c r="I341" s="68">
        <f>'[34]Flujo de Vencimiento'!I$18</f>
        <v>913.97</v>
      </c>
      <c r="J341" s="67">
        <f>'[34]Flujo de Vencimiento'!J$18</f>
        <v>12400.789999999999</v>
      </c>
      <c r="K341" s="68">
        <f>'[34]Flujo de Vencimiento'!K$18</f>
        <v>926.8</v>
      </c>
      <c r="L341" s="67">
        <f>'[34]Flujo de Vencimiento'!L$18</f>
        <v>12445.65</v>
      </c>
      <c r="M341" s="68">
        <f>'[34]Flujo de Vencimiento'!M$18</f>
        <v>879.74</v>
      </c>
      <c r="N341" s="73">
        <f t="shared" si="123"/>
        <v>74003.40999999999</v>
      </c>
      <c r="O341" s="74">
        <f t="shared" si="124"/>
        <v>5563.64</v>
      </c>
      <c r="P341" s="67">
        <f>'[34]Flujo de Vencimiento'!N$18</f>
        <v>12490.81</v>
      </c>
      <c r="Q341" s="68">
        <f>'[34]Flujo de Vencimiento'!O$18</f>
        <v>891.1</v>
      </c>
      <c r="R341" s="67">
        <f>'[34]Flujo de Vencimiento'!P$18</f>
        <v>12535.99</v>
      </c>
      <c r="S341" s="68">
        <f>'[34]Flujo de Vencimiento'!Q$18</f>
        <v>873.0799999999999</v>
      </c>
      <c r="T341" s="67">
        <f>'[34]Flujo de Vencimiento'!R$18</f>
        <v>12581.48</v>
      </c>
      <c r="U341" s="68">
        <f>'[34]Flujo de Vencimiento'!S$18</f>
        <v>827.3</v>
      </c>
      <c r="V341" s="67">
        <f>'[34]Flujo de Vencimiento'!T$18</f>
        <v>12626.99</v>
      </c>
      <c r="W341" s="68">
        <f>'[34]Flujo de Vencimiento'!U$18</f>
        <v>836.53</v>
      </c>
      <c r="X341" s="67">
        <f>'[34]Flujo de Vencimiento'!V$18</f>
        <v>12672.81</v>
      </c>
      <c r="Y341" s="68">
        <f>'[34]Flujo de Vencimiento'!W$18</f>
        <v>791.62</v>
      </c>
      <c r="Z341" s="67">
        <f>'[34]Flujo de Vencimiento'!X$18</f>
        <v>12718.65</v>
      </c>
      <c r="AA341" s="68">
        <f>'[34]Flujo de Vencimiento'!Y$18</f>
        <v>799.33</v>
      </c>
      <c r="AB341" s="73">
        <f t="shared" si="126"/>
        <v>149630.13999999998</v>
      </c>
      <c r="AC341" s="74">
        <f t="shared" si="127"/>
        <v>10582.600000000002</v>
      </c>
    </row>
    <row r="342" spans="1:29" ht="12.75">
      <c r="A342" s="34" t="s">
        <v>13</v>
      </c>
      <c r="B342" s="67">
        <f>'[32]Flujo de Vencimientos'!B$18</f>
        <v>45340.75</v>
      </c>
      <c r="C342" s="68">
        <f>'[32]Flujo de Vencimientos'!C$18</f>
        <v>3696.8500000000004</v>
      </c>
      <c r="D342" s="67">
        <f>'[32]Flujo de Vencimientos'!D$18</f>
        <v>45505.090000000004</v>
      </c>
      <c r="E342" s="68">
        <f>'[32]Flujo de Vencimientos'!E$18</f>
        <v>3281.36</v>
      </c>
      <c r="F342" s="67">
        <f>'[32]Flujo de Vencimientos'!F$18</f>
        <v>45669.89</v>
      </c>
      <c r="G342" s="68">
        <f>'[32]Flujo de Vencimientos'!G$18</f>
        <v>3568.52</v>
      </c>
      <c r="H342" s="67">
        <f>'[32]Flujo de Vencimientos'!H$18</f>
        <v>45835.41</v>
      </c>
      <c r="I342" s="68">
        <f>'[32]Flujo de Vencimientos'!I$18</f>
        <v>3390.57</v>
      </c>
      <c r="J342" s="67">
        <f>'[32]Flujo de Vencimientos'!J$18</f>
        <v>46001.41</v>
      </c>
      <c r="K342" s="68">
        <f>'[32]Flujo de Vencimientos'!K$18</f>
        <v>3438.12</v>
      </c>
      <c r="L342" s="67">
        <f>'[32]Flujo de Vencimientos'!L$18</f>
        <v>46168.14</v>
      </c>
      <c r="M342" s="68">
        <f>'[32]Flujo de Vencimientos'!M$18</f>
        <v>3263.4</v>
      </c>
      <c r="N342" s="73">
        <f t="shared" si="123"/>
        <v>274520.69</v>
      </c>
      <c r="O342" s="74">
        <f t="shared" si="124"/>
        <v>20638.820000000003</v>
      </c>
      <c r="P342" s="67">
        <f>'[32]Flujo de Vencimientos'!N$18</f>
        <v>46335.340000000004</v>
      </c>
      <c r="Q342" s="68">
        <f>'[32]Flujo de Vencimientos'!O$18</f>
        <v>3305.65</v>
      </c>
      <c r="R342" s="67">
        <f>'[32]Flujo de Vencimientos'!P$18</f>
        <v>46503.280000000006</v>
      </c>
      <c r="S342" s="68">
        <f>'[32]Flujo de Vencimientos'!Q$18</f>
        <v>3238.66</v>
      </c>
      <c r="T342" s="67">
        <f>'[32]Flujo de Vencimientos'!R$18</f>
        <v>46671.69</v>
      </c>
      <c r="U342" s="68">
        <f>'[32]Flujo de Vencimientos'!S$18</f>
        <v>3068.8</v>
      </c>
      <c r="V342" s="67">
        <f>'[32]Flujo de Vencimientos'!T$18</f>
        <v>46840.850000000006</v>
      </c>
      <c r="W342" s="68">
        <f>'[32]Flujo de Vencimientos'!U$18</f>
        <v>3103.02</v>
      </c>
      <c r="X342" s="67">
        <f>'[32]Flujo de Vencimientos'!V$18</f>
        <v>47010.49</v>
      </c>
      <c r="Y342" s="68">
        <f>'[32]Flujo de Vencimientos'!W$18</f>
        <v>2936.52</v>
      </c>
      <c r="Z342" s="67">
        <f>'[32]Flujo de Vencimientos'!X$18</f>
        <v>47180.880000000005</v>
      </c>
      <c r="AA342" s="68">
        <f>'[32]Flujo de Vencimientos'!Y$18</f>
        <v>2965.31</v>
      </c>
      <c r="AB342" s="73">
        <f t="shared" si="126"/>
        <v>555063.2200000001</v>
      </c>
      <c r="AC342" s="74">
        <f t="shared" si="127"/>
        <v>39256.78</v>
      </c>
    </row>
    <row r="343" spans="1:29" ht="12.75">
      <c r="A343" s="34" t="s">
        <v>84</v>
      </c>
      <c r="B343" s="67">
        <f>'[18]Flujo Vencimientos'!B$18</f>
        <v>42297.689999999995</v>
      </c>
      <c r="C343" s="68">
        <f>'[18]Flujo Vencimientos'!C$18</f>
        <v>3448.69</v>
      </c>
      <c r="D343" s="67">
        <f>'[18]Flujo Vencimientos'!D$18</f>
        <v>42450.93</v>
      </c>
      <c r="E343" s="68">
        <f>'[18]Flujo Vencimientos'!E$18</f>
        <v>3061.13</v>
      </c>
      <c r="F343" s="67">
        <f>'[18]Flujo Vencimientos'!F$18</f>
        <v>42604.729999999996</v>
      </c>
      <c r="G343" s="68">
        <f>'[18]Flujo Vencimientos'!G$18</f>
        <v>3328.99</v>
      </c>
      <c r="H343" s="67">
        <f>'[18]Flujo Vencimientos'!H$18</f>
        <v>42759.09</v>
      </c>
      <c r="I343" s="68">
        <f>'[18]Flujo Vencimientos'!I$18</f>
        <v>3162.98</v>
      </c>
      <c r="J343" s="67">
        <f>'[18]Flujo Vencimientos'!J$18</f>
        <v>42914</v>
      </c>
      <c r="K343" s="68">
        <f>'[18]Flujo Vencimientos'!K$18</f>
        <v>3207.37</v>
      </c>
      <c r="L343" s="67">
        <f>'[18]Flujo Vencimientos'!L$18</f>
        <v>43069.479999999996</v>
      </c>
      <c r="M343" s="68">
        <f>'[18]Flujo Vencimientos'!M$18</f>
        <v>3044.37</v>
      </c>
      <c r="N343" s="83">
        <f t="shared" si="123"/>
        <v>256095.91999999998</v>
      </c>
      <c r="O343" s="74">
        <f t="shared" si="124"/>
        <v>19253.53</v>
      </c>
      <c r="P343" s="67">
        <f>'[18]Flujo Vencimientos'!N$18</f>
        <v>43225.52</v>
      </c>
      <c r="Q343" s="68">
        <f>'[18]Flujo Vencimientos'!O$18</f>
        <v>3083.81</v>
      </c>
      <c r="R343" s="67">
        <f>'[18]Flujo Vencimientos'!P$18</f>
        <v>43382.13</v>
      </c>
      <c r="S343" s="68">
        <f>'[18]Flujo Vencimientos'!Q$18</f>
        <v>3021.26</v>
      </c>
      <c r="T343" s="67">
        <f>'[18]Flujo Vencimientos'!R$18</f>
        <v>43539.299999999996</v>
      </c>
      <c r="U343" s="68">
        <f>'[18]Flujo Vencimientos'!S$18</f>
        <v>2862.84</v>
      </c>
      <c r="V343" s="67">
        <f>'[18]Flujo Vencimientos'!T$18</f>
        <v>43697.04</v>
      </c>
      <c r="W343" s="68">
        <f>'[18]Flujo Vencimientos'!U$18</f>
        <v>2894.75</v>
      </c>
      <c r="X343" s="67">
        <f>'[18]Flujo Vencimientos'!V$18</f>
        <v>43855.36</v>
      </c>
      <c r="Y343" s="68">
        <f>'[18]Flujo Vencimientos'!W$18</f>
        <v>2739.46</v>
      </c>
      <c r="Z343" s="67">
        <f>'[18]Flujo Vencimientos'!X$18</f>
        <v>44014.25</v>
      </c>
      <c r="AA343" s="68">
        <f>'[18]Flujo Vencimientos'!Y$18</f>
        <v>2766.25</v>
      </c>
      <c r="AB343" s="73">
        <f t="shared" si="126"/>
        <v>517809.51999999996</v>
      </c>
      <c r="AC343" s="74">
        <f t="shared" si="127"/>
        <v>36621.9</v>
      </c>
    </row>
    <row r="344" spans="1:29" ht="12.75">
      <c r="A344" s="34" t="s">
        <v>105</v>
      </c>
      <c r="B344" s="67">
        <f>'[11]Flujo Vencimientos'!B$18</f>
        <v>67645.54000000001</v>
      </c>
      <c r="C344" s="68">
        <f>'[11]Flujo Vencimientos'!C$18</f>
        <v>5515.44</v>
      </c>
      <c r="D344" s="67">
        <f>'[11]Flujo Vencimientos'!D$18</f>
        <v>67890.62</v>
      </c>
      <c r="E344" s="68">
        <f>'[11]Flujo Vencimientos'!E$18</f>
        <v>4895.59</v>
      </c>
      <c r="F344" s="67">
        <f>'[11]Flujo Vencimientos'!F$18</f>
        <v>68136.59</v>
      </c>
      <c r="G344" s="68">
        <f>'[11]Flujo Vencimientos'!G$18</f>
        <v>5324.01</v>
      </c>
      <c r="H344" s="67">
        <f>'[11]Flujo Vencimientos'!H$18</f>
        <v>68383.45</v>
      </c>
      <c r="I344" s="68">
        <f>'[11]Flujo Vencimientos'!I$18</f>
        <v>5058.48</v>
      </c>
      <c r="J344" s="67">
        <f>'[11]Flujo Vencimientos'!J$18</f>
        <v>68631.2</v>
      </c>
      <c r="K344" s="68">
        <f>'[11]Flujo Vencimientos'!K$18</f>
        <v>5129.51</v>
      </c>
      <c r="L344" s="67">
        <f>'[11]Flujo Vencimientos'!L$18</f>
        <v>68879.85</v>
      </c>
      <c r="M344" s="68">
        <f>'[11]Flujo Vencimientos'!M$18</f>
        <v>4868.76</v>
      </c>
      <c r="N344" s="73">
        <f t="shared" si="123"/>
        <v>409567.25</v>
      </c>
      <c r="O344" s="84">
        <f t="shared" si="124"/>
        <v>30791.79</v>
      </c>
      <c r="P344" s="67">
        <f>'[11]Flujo Vencimientos'!N$18</f>
        <v>69129.40000000001</v>
      </c>
      <c r="Q344" s="68">
        <f>'[11]Flujo Vencimientos'!O$18</f>
        <v>4931.84</v>
      </c>
      <c r="R344" s="67">
        <f>'[11]Flujo Vencimientos'!P$18</f>
        <v>69379.86</v>
      </c>
      <c r="S344" s="68">
        <f>'[11]Flujo Vencimientos'!Q$18</f>
        <v>4831.860000000001</v>
      </c>
      <c r="T344" s="67">
        <f>'[11]Flujo Vencimientos'!R$18</f>
        <v>69631.22</v>
      </c>
      <c r="U344" s="68">
        <f>'[11]Flujo Vencimientos'!S$18</f>
        <v>4578.46</v>
      </c>
      <c r="V344" s="67">
        <f>'[11]Flujo Vencimientos'!T$18</f>
        <v>69883.5</v>
      </c>
      <c r="W344" s="68">
        <f>'[11]Flujo Vencimientos'!U$18</f>
        <v>4629.53</v>
      </c>
      <c r="X344" s="67">
        <f>'[11]Flujo Vencimientos'!V$18</f>
        <v>70136.68000000001</v>
      </c>
      <c r="Y344" s="68">
        <f>'[11]Flujo Vencimientos'!W$18</f>
        <v>4381.12</v>
      </c>
      <c r="Z344" s="67">
        <f>'[11]Flujo Vencimientos'!X$18</f>
        <v>70390.79000000001</v>
      </c>
      <c r="AA344" s="68">
        <f>'[11]Flujo Vencimientos'!Y$18</f>
        <v>4424.01</v>
      </c>
      <c r="AB344" s="73">
        <f t="shared" si="126"/>
        <v>828118.7000000001</v>
      </c>
      <c r="AC344" s="74">
        <f t="shared" si="127"/>
        <v>58568.61000000001</v>
      </c>
    </row>
    <row r="345" spans="1:29" ht="12.75">
      <c r="A345" s="34" t="s">
        <v>4</v>
      </c>
      <c r="B345" s="67">
        <f>'[9]Flujo de Vencimientos'!B$18</f>
        <v>50720.630000000005</v>
      </c>
      <c r="C345" s="68">
        <f>'[9]Flujo de Vencimientos'!C$18</f>
        <v>4135.46</v>
      </c>
      <c r="D345" s="67">
        <f>'[9]Flujo de Vencimientos'!D$18</f>
        <v>50904.46</v>
      </c>
      <c r="E345" s="68">
        <f>'[9]Flujo de Vencimientos'!E$18</f>
        <v>3670.69</v>
      </c>
      <c r="F345" s="67">
        <f>'[9]Flujo de Vencimientos'!F$18</f>
        <v>51088.82</v>
      </c>
      <c r="G345" s="68">
        <f>'[9]Flujo de Vencimientos'!G$18</f>
        <v>3991.95</v>
      </c>
      <c r="H345" s="67">
        <f>'[9]Flujo de Vencimientos'!H$18</f>
        <v>51273.979999999996</v>
      </c>
      <c r="I345" s="68">
        <f>'[9]Flujo de Vencimientos'!I$18</f>
        <v>3792.87</v>
      </c>
      <c r="J345" s="67">
        <f>'[9]Flujo de Vencimientos'!J$18</f>
        <v>51459.68</v>
      </c>
      <c r="K345" s="68">
        <f>'[9]Flujo de Vencimientos'!K$18</f>
        <v>3846.0699999999997</v>
      </c>
      <c r="L345" s="67">
        <f>'[9]Flujo de Vencimientos'!L$18</f>
        <v>51646.18</v>
      </c>
      <c r="M345" s="68">
        <f>'[9]Flujo de Vencimientos'!M$18</f>
        <v>3650.58</v>
      </c>
      <c r="N345" s="73">
        <f t="shared" si="123"/>
        <v>307093.75</v>
      </c>
      <c r="O345" s="84">
        <f t="shared" si="124"/>
        <v>23087.619999999995</v>
      </c>
      <c r="P345" s="67">
        <f>'[9]Flujo de Vencimientos'!N$18</f>
        <v>51833.23</v>
      </c>
      <c r="Q345" s="68">
        <f>'[9]Flujo de Vencimientos'!O$18</f>
        <v>3697.92</v>
      </c>
      <c r="R345" s="67">
        <f>'[9]Flujo de Vencimientos'!P$18</f>
        <v>52021.09</v>
      </c>
      <c r="S345" s="68">
        <f>'[9]Flujo de Vencimientos'!Q$18</f>
        <v>3622.94</v>
      </c>
      <c r="T345" s="67">
        <f>'[9]Flujo de Vencimientos'!R$18</f>
        <v>52209.490000000005</v>
      </c>
      <c r="U345" s="68">
        <f>'[9]Flujo de Vencimientos'!S$18</f>
        <v>3432.9300000000003</v>
      </c>
      <c r="V345" s="67">
        <f>'[9]Flujo de Vencimientos'!T$18</f>
        <v>52398.719999999994</v>
      </c>
      <c r="W345" s="68">
        <f>'[9]Flujo de Vencimientos'!U$18</f>
        <v>3471.25</v>
      </c>
      <c r="X345" s="67">
        <f>'[9]Flujo de Vencimientos'!V$18</f>
        <v>52588.490000000005</v>
      </c>
      <c r="Y345" s="68">
        <f>'[9]Flujo de Vencimientos'!W$18</f>
        <v>3285</v>
      </c>
      <c r="Z345" s="67">
        <f>'[9]Flujo de Vencimientos'!X$18</f>
        <v>52779.079999999994</v>
      </c>
      <c r="AA345" s="68">
        <f>'[9]Flujo de Vencimientos'!Y$18</f>
        <v>3317.11</v>
      </c>
      <c r="AB345" s="73">
        <f t="shared" si="126"/>
        <v>620923.8499999999</v>
      </c>
      <c r="AC345" s="74">
        <f t="shared" si="127"/>
        <v>43914.76999999999</v>
      </c>
    </row>
    <row r="346" spans="1:29" ht="12.75">
      <c r="A346" s="34" t="s">
        <v>10</v>
      </c>
      <c r="B346" s="67">
        <f>'[7]Flujo vencimientos'!B$18</f>
        <v>15450.89</v>
      </c>
      <c r="C346" s="68">
        <f>'[7]Flujo vencimientos'!C$18</f>
        <v>1259.76</v>
      </c>
      <c r="D346" s="67">
        <f>'[7]Flujo vencimientos'!D$18</f>
        <v>15506.810000000001</v>
      </c>
      <c r="E346" s="68">
        <f>'[7]Flujo vencimientos'!E$18</f>
        <v>1118.21</v>
      </c>
      <c r="F346" s="67">
        <f>'[7]Flujo vencimientos'!F$18</f>
        <v>15563.05</v>
      </c>
      <c r="G346" s="68">
        <f>'[7]Flujo vencimientos'!G$18</f>
        <v>1216.06</v>
      </c>
      <c r="H346" s="67">
        <f>'[7]Flujo vencimientos'!H$18</f>
        <v>15619.369999999999</v>
      </c>
      <c r="I346" s="68">
        <f>'[7]Flujo vencimientos'!I$18</f>
        <v>1155.43</v>
      </c>
      <c r="J346" s="67">
        <f>'[7]Flujo vencimientos'!J$18</f>
        <v>15676.029999999999</v>
      </c>
      <c r="K346" s="68">
        <f>'[7]Flujo vencimientos'!K$18</f>
        <v>1171.59</v>
      </c>
      <c r="L346" s="67">
        <f>'[7]Flujo vencimientos'!L$18</f>
        <v>15732.75</v>
      </c>
      <c r="M346" s="68">
        <f>'[7]Flujo vencimientos'!M$18</f>
        <v>1112.06</v>
      </c>
      <c r="N346" s="73">
        <f t="shared" si="123"/>
        <v>93548.9</v>
      </c>
      <c r="O346" s="84">
        <f t="shared" si="124"/>
        <v>7033.110000000001</v>
      </c>
      <c r="P346" s="67">
        <f>'[7]Flujo vencimientos'!N$18</f>
        <v>15789.82</v>
      </c>
      <c r="Q346" s="68">
        <f>'[7]Flujo vencimientos'!O$18</f>
        <v>1126.48</v>
      </c>
      <c r="R346" s="67">
        <f>'[7]Flujo vencimientos'!P$18</f>
        <v>15846.96</v>
      </c>
      <c r="S346" s="68">
        <f>'[7]Flujo vencimientos'!Q$18</f>
        <v>1103.66</v>
      </c>
      <c r="T346" s="67">
        <f>'[7]Flujo vencimientos'!R$18</f>
        <v>15904.439999999999</v>
      </c>
      <c r="U346" s="68">
        <f>'[7]Flujo vencimientos'!S$18</f>
        <v>1045.75</v>
      </c>
      <c r="V346" s="67">
        <f>'[7]Flujo vencimientos'!T$18</f>
        <v>15962</v>
      </c>
      <c r="W346" s="68">
        <f>'[7]Flujo vencimientos'!U$18</f>
        <v>1057.4</v>
      </c>
      <c r="X346" s="67">
        <f>'[7]Flujo vencimientos'!V$18</f>
        <v>16019.89</v>
      </c>
      <c r="Y346" s="68">
        <f>'[7]Flujo vencimientos'!W$18</f>
        <v>1000.71</v>
      </c>
      <c r="Z346" s="67">
        <f>'[7]Flujo vencimientos'!X$18</f>
        <v>16077.869999999997</v>
      </c>
      <c r="AA346" s="68">
        <f>'[7]Flujo vencimientos'!Y$18</f>
        <v>1010.48</v>
      </c>
      <c r="AB346" s="73">
        <f t="shared" si="126"/>
        <v>189149.88</v>
      </c>
      <c r="AC346" s="74">
        <f t="shared" si="127"/>
        <v>13377.59</v>
      </c>
    </row>
    <row r="347" spans="1:29" ht="13.5" thickBot="1">
      <c r="A347" s="34" t="s">
        <v>11</v>
      </c>
      <c r="B347" s="67">
        <f>'[3]Flujo Vencimientos'!B$18</f>
        <v>188555.7</v>
      </c>
      <c r="C347" s="68">
        <f>'[3]Flujo Vencimientos'!C$18</f>
        <v>15373.77</v>
      </c>
      <c r="D347" s="67">
        <f>'[3]Flujo Vencimientos'!D$18</f>
        <v>189238.77</v>
      </c>
      <c r="E347" s="68">
        <f>'[3]Flujo Vencimientos'!E$18</f>
        <v>13645.96</v>
      </c>
      <c r="F347" s="67">
        <f>'[3]Flujo Vencimientos'!F$18</f>
        <v>189924.44</v>
      </c>
      <c r="G347" s="68">
        <f>'[3]Flujo Vencimientos'!G$18</f>
        <v>14840.11</v>
      </c>
      <c r="H347" s="67">
        <f>'[3]Flujo Vencimientos'!H$18</f>
        <v>190612.47</v>
      </c>
      <c r="I347" s="68">
        <f>'[3]Flujo Vencimientos'!I$18</f>
        <v>14100.099999999999</v>
      </c>
      <c r="J347" s="67">
        <f>'[3]Flujo Vencimientos'!J$18</f>
        <v>191303.13</v>
      </c>
      <c r="K347" s="68">
        <f>'[3]Flujo Vencimientos'!K$18</f>
        <v>14297.970000000001</v>
      </c>
      <c r="L347" s="67">
        <f>'[3]Flujo Vencimientos'!L$18</f>
        <v>191996.15</v>
      </c>
      <c r="M347" s="68">
        <f>'[3]Flujo Vencimientos'!M$18</f>
        <v>13571.27</v>
      </c>
      <c r="N347" s="73">
        <f t="shared" si="123"/>
        <v>1141630.66</v>
      </c>
      <c r="O347" s="84">
        <f t="shared" si="124"/>
        <v>85829.18000000001</v>
      </c>
      <c r="P347" s="67">
        <f>'[3]Flujo Vencimientos'!N$18</f>
        <v>192691.82</v>
      </c>
      <c r="Q347" s="68">
        <f>'[3]Flujo Vencimientos'!O$18</f>
        <v>13747.1</v>
      </c>
      <c r="R347" s="67">
        <f>'[3]Flujo Vencimientos'!P$18</f>
        <v>193389.88</v>
      </c>
      <c r="S347" s="68">
        <f>'[3]Flujo Vencimientos'!Q$18</f>
        <v>13468.4</v>
      </c>
      <c r="T347" s="67">
        <f>'[3]Flujo Vencimientos'!R$18</f>
        <v>194090.6</v>
      </c>
      <c r="U347" s="68">
        <f>'[3]Flujo Vencimientos'!S$18</f>
        <v>12762.13</v>
      </c>
      <c r="V347" s="67">
        <f>'[3]Flujo Vencimientos'!T$18</f>
        <v>194793.72</v>
      </c>
      <c r="W347" s="68">
        <f>'[3]Flujo Vencimientos'!U$18</f>
        <v>12904.44</v>
      </c>
      <c r="X347" s="67">
        <f>'[3]Flujo Vencimientos'!V$18</f>
        <v>195499.53</v>
      </c>
      <c r="Y347" s="68">
        <f>'[3]Flujo Vencimientos'!W$18</f>
        <v>12211.990000000002</v>
      </c>
      <c r="Z347" s="67">
        <f>'[3]Flujo Vencimientos'!X$18</f>
        <v>196207.75</v>
      </c>
      <c r="AA347" s="68">
        <f>'[3]Flujo Vencimientos'!Y$18</f>
        <v>12331.51</v>
      </c>
      <c r="AB347" s="73">
        <f t="shared" si="126"/>
        <v>2308303.96</v>
      </c>
      <c r="AC347" s="74">
        <f t="shared" si="127"/>
        <v>163254.75</v>
      </c>
    </row>
    <row r="348" spans="1:29" s="42" customFormat="1" ht="12.75" thickBot="1">
      <c r="A348" s="43" t="s">
        <v>120</v>
      </c>
      <c r="B348" s="71">
        <f aca="true" t="shared" si="128" ref="B348:M348">B335</f>
        <v>875279.3200000001</v>
      </c>
      <c r="C348" s="72">
        <f t="shared" si="128"/>
        <v>71365.27</v>
      </c>
      <c r="D348" s="71">
        <f t="shared" si="128"/>
        <v>878450.28</v>
      </c>
      <c r="E348" s="72">
        <f t="shared" si="128"/>
        <v>63344.740000000005</v>
      </c>
      <c r="F348" s="71">
        <f t="shared" si="128"/>
        <v>881633.0799999998</v>
      </c>
      <c r="G348" s="72">
        <f t="shared" si="128"/>
        <v>68888.13</v>
      </c>
      <c r="H348" s="71">
        <f t="shared" si="128"/>
        <v>884827.0299999999</v>
      </c>
      <c r="I348" s="72">
        <f t="shared" si="128"/>
        <v>65452.9</v>
      </c>
      <c r="J348" s="71">
        <f t="shared" si="128"/>
        <v>888032.98</v>
      </c>
      <c r="K348" s="72">
        <f t="shared" si="128"/>
        <v>66371.25</v>
      </c>
      <c r="L348" s="71">
        <f t="shared" si="128"/>
        <v>891250.1000000001</v>
      </c>
      <c r="M348" s="72">
        <f t="shared" si="128"/>
        <v>62998.01000000001</v>
      </c>
      <c r="N348" s="597">
        <f t="shared" si="123"/>
        <v>5299472.789999999</v>
      </c>
      <c r="O348" s="598">
        <f t="shared" si="124"/>
        <v>398420.30000000005</v>
      </c>
      <c r="P348" s="71">
        <f>P335</f>
        <v>894479.31</v>
      </c>
      <c r="Q348" s="72">
        <f>Q335</f>
        <v>63814.270000000004</v>
      </c>
      <c r="R348" s="71">
        <f>R335</f>
        <v>897719.8099999999</v>
      </c>
      <c r="S348" s="72">
        <f aca="true" t="shared" si="129" ref="S348:AA348">S335</f>
        <v>62520.640000000014</v>
      </c>
      <c r="T348" s="71">
        <f t="shared" si="129"/>
        <v>900972.44</v>
      </c>
      <c r="U348" s="72">
        <f t="shared" si="129"/>
        <v>59241.88999999999</v>
      </c>
      <c r="V348" s="71">
        <f t="shared" si="129"/>
        <v>904236.46</v>
      </c>
      <c r="W348" s="72">
        <f t="shared" si="129"/>
        <v>59902.54</v>
      </c>
      <c r="X348" s="71">
        <f t="shared" si="129"/>
        <v>907512.7300000001</v>
      </c>
      <c r="Y348" s="72">
        <f t="shared" si="129"/>
        <v>56688.42999999999</v>
      </c>
      <c r="Z348" s="71">
        <f t="shared" si="129"/>
        <v>910800.4400000001</v>
      </c>
      <c r="AA348" s="72">
        <f t="shared" si="129"/>
        <v>57243.09000000001</v>
      </c>
      <c r="AB348" s="597">
        <f t="shared" si="126"/>
        <v>10715193.979999999</v>
      </c>
      <c r="AC348" s="598">
        <f t="shared" si="127"/>
        <v>757831.16</v>
      </c>
    </row>
    <row r="349" spans="1:29" ht="13.5" thickBot="1">
      <c r="A349" s="42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1"/>
      <c r="AC349" s="42"/>
    </row>
    <row r="350" spans="1:29" s="42" customFormat="1" ht="12.75" thickBot="1">
      <c r="A350" s="12" t="s">
        <v>94</v>
      </c>
      <c r="B350" s="39"/>
      <c r="C350" s="39"/>
      <c r="D350" s="39"/>
      <c r="E350" s="39"/>
      <c r="F350" s="39"/>
      <c r="G350" s="39"/>
      <c r="H350" s="78" t="s">
        <v>132</v>
      </c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78" t="str">
        <f>H350</f>
        <v>EN PESOS</v>
      </c>
      <c r="W350" s="39"/>
      <c r="X350" s="39"/>
      <c r="Y350" s="39"/>
      <c r="Z350" s="39"/>
      <c r="AA350" s="39"/>
      <c r="AB350" s="39"/>
      <c r="AC350" s="38"/>
    </row>
    <row r="351" spans="1:29" ht="12.75">
      <c r="A351" s="33" t="s">
        <v>27</v>
      </c>
      <c r="B351" s="32">
        <f aca="true" t="shared" si="130" ref="B351:M351">SUM(B352:B354)</f>
        <v>885592.4599999896</v>
      </c>
      <c r="C351" s="31">
        <f t="shared" si="130"/>
        <v>1899.81</v>
      </c>
      <c r="D351" s="32">
        <f t="shared" si="130"/>
        <v>0</v>
      </c>
      <c r="E351" s="31">
        <f t="shared" si="130"/>
        <v>0</v>
      </c>
      <c r="F351" s="32">
        <f t="shared" si="130"/>
        <v>0</v>
      </c>
      <c r="G351" s="31">
        <f t="shared" si="130"/>
        <v>0</v>
      </c>
      <c r="H351" s="32">
        <f t="shared" si="130"/>
        <v>0</v>
      </c>
      <c r="I351" s="31">
        <f t="shared" si="130"/>
        <v>0</v>
      </c>
      <c r="J351" s="32">
        <f t="shared" si="130"/>
        <v>0</v>
      </c>
      <c r="K351" s="31">
        <f t="shared" si="130"/>
        <v>0</v>
      </c>
      <c r="L351" s="32">
        <f t="shared" si="130"/>
        <v>0</v>
      </c>
      <c r="M351" s="31">
        <f t="shared" si="130"/>
        <v>0</v>
      </c>
      <c r="N351" s="32">
        <f aca="true" t="shared" si="131" ref="N351:N364">B351+D351+F351+H351+J351+L351</f>
        <v>885592.4599999896</v>
      </c>
      <c r="O351" s="31">
        <f aca="true" t="shared" si="132" ref="O351:O364">C351+E351+G351+I351+K351+M351</f>
        <v>1899.81</v>
      </c>
      <c r="P351" s="32">
        <f aca="true" t="shared" si="133" ref="P351:AA351">SUM(P352:P354)</f>
        <v>0</v>
      </c>
      <c r="Q351" s="31">
        <f t="shared" si="133"/>
        <v>0</v>
      </c>
      <c r="R351" s="32">
        <f t="shared" si="133"/>
        <v>0</v>
      </c>
      <c r="S351" s="31">
        <f t="shared" si="133"/>
        <v>0</v>
      </c>
      <c r="T351" s="32">
        <f t="shared" si="133"/>
        <v>0</v>
      </c>
      <c r="U351" s="31">
        <f t="shared" si="133"/>
        <v>0</v>
      </c>
      <c r="V351" s="32">
        <f t="shared" si="133"/>
        <v>0</v>
      </c>
      <c r="W351" s="31">
        <f t="shared" si="133"/>
        <v>0</v>
      </c>
      <c r="X351" s="32">
        <f t="shared" si="133"/>
        <v>0</v>
      </c>
      <c r="Y351" s="31">
        <f t="shared" si="133"/>
        <v>0</v>
      </c>
      <c r="Z351" s="32">
        <f t="shared" si="133"/>
        <v>0</v>
      </c>
      <c r="AA351" s="31">
        <f t="shared" si="133"/>
        <v>0</v>
      </c>
      <c r="AB351" s="32">
        <f aca="true" t="shared" si="134" ref="AB351:AB364">+N351+P351+R351+T351+V351+X351+Z351</f>
        <v>885592.4599999896</v>
      </c>
      <c r="AC351" s="31">
        <f aca="true" t="shared" si="135" ref="AC351:AC364">O351+Q351+S351+U351+W351+Y351+AA351</f>
        <v>1899.81</v>
      </c>
    </row>
    <row r="352" spans="1:29" ht="12.75">
      <c r="A352" s="34" t="s">
        <v>22</v>
      </c>
      <c r="B352" s="81">
        <f>'[43]Flujo para el libro'!B$18</f>
        <v>545093.7000000244</v>
      </c>
      <c r="C352" s="82">
        <f>'[43]Flujo para el libro'!C$18</f>
        <v>925.91</v>
      </c>
      <c r="D352" s="384"/>
      <c r="E352" s="385"/>
      <c r="F352" s="384"/>
      <c r="G352" s="385"/>
      <c r="H352" s="384"/>
      <c r="I352" s="385"/>
      <c r="J352" s="384"/>
      <c r="K352" s="385"/>
      <c r="L352" s="384"/>
      <c r="M352" s="385"/>
      <c r="N352" s="51">
        <f t="shared" si="131"/>
        <v>545093.7000000244</v>
      </c>
      <c r="O352" s="50">
        <f t="shared" si="132"/>
        <v>925.91</v>
      </c>
      <c r="P352" s="384"/>
      <c r="Q352" s="385"/>
      <c r="R352" s="384"/>
      <c r="S352" s="385"/>
      <c r="T352" s="384"/>
      <c r="U352" s="385"/>
      <c r="V352" s="384"/>
      <c r="W352" s="385"/>
      <c r="X352" s="384"/>
      <c r="Y352" s="385"/>
      <c r="Z352" s="384"/>
      <c r="AA352" s="385"/>
      <c r="AB352" s="51">
        <f t="shared" si="134"/>
        <v>545093.7000000244</v>
      </c>
      <c r="AC352" s="50">
        <f t="shared" si="135"/>
        <v>925.91</v>
      </c>
    </row>
    <row r="353" spans="1:29" ht="12.75">
      <c r="A353" s="34" t="s">
        <v>128</v>
      </c>
      <c r="B353" s="81">
        <f>'[30]Flujo para el libro'!B$18</f>
        <v>327571.1299999658</v>
      </c>
      <c r="C353" s="82">
        <f>'[30]Flujo para el libro'!C$18</f>
        <v>558.49</v>
      </c>
      <c r="D353" s="81">
        <f>'[30]Flujo para el libro'!D$18</f>
        <v>0</v>
      </c>
      <c r="E353" s="82">
        <f>'[30]Flujo para el libro'!E$18</f>
        <v>0</v>
      </c>
      <c r="F353" s="384"/>
      <c r="G353" s="385"/>
      <c r="H353" s="384"/>
      <c r="I353" s="385"/>
      <c r="J353" s="384"/>
      <c r="K353" s="385"/>
      <c r="L353" s="384"/>
      <c r="M353" s="385"/>
      <c r="N353" s="51">
        <f t="shared" si="131"/>
        <v>327571.1299999658</v>
      </c>
      <c r="O353" s="50">
        <f t="shared" si="132"/>
        <v>558.49</v>
      </c>
      <c r="P353" s="384"/>
      <c r="Q353" s="385"/>
      <c r="R353" s="384"/>
      <c r="S353" s="385"/>
      <c r="T353" s="384"/>
      <c r="U353" s="385"/>
      <c r="V353" s="384"/>
      <c r="W353" s="385"/>
      <c r="X353" s="384"/>
      <c r="Y353" s="385"/>
      <c r="Z353" s="384"/>
      <c r="AA353" s="385"/>
      <c r="AB353" s="51">
        <f t="shared" si="134"/>
        <v>327571.1299999658</v>
      </c>
      <c r="AC353" s="50">
        <f t="shared" si="135"/>
        <v>558.49</v>
      </c>
    </row>
    <row r="354" spans="1:29" ht="12.75">
      <c r="A354" s="34" t="s">
        <v>11</v>
      </c>
      <c r="B354" s="81">
        <f>'[5]Flujo para el libro'!B$18</f>
        <v>12927.629999999373</v>
      </c>
      <c r="C354" s="82">
        <f>'[5]Flujo para el libro'!C$18</f>
        <v>415.40999999999997</v>
      </c>
      <c r="D354" s="81">
        <f>'[5]Flujo para el libro'!D$18</f>
        <v>0</v>
      </c>
      <c r="E354" s="82">
        <f>'[5]Flujo para el libro'!E$18</f>
        <v>0</v>
      </c>
      <c r="F354" s="384"/>
      <c r="G354" s="385"/>
      <c r="H354" s="384"/>
      <c r="I354" s="385"/>
      <c r="J354" s="384"/>
      <c r="K354" s="385"/>
      <c r="L354" s="384"/>
      <c r="M354" s="385"/>
      <c r="N354" s="51">
        <f t="shared" si="131"/>
        <v>12927.629999999373</v>
      </c>
      <c r="O354" s="50">
        <f t="shared" si="132"/>
        <v>415.40999999999997</v>
      </c>
      <c r="P354" s="384"/>
      <c r="Q354" s="385"/>
      <c r="R354" s="384"/>
      <c r="S354" s="385"/>
      <c r="T354" s="384"/>
      <c r="U354" s="385"/>
      <c r="V354" s="384"/>
      <c r="W354" s="385"/>
      <c r="X354" s="384"/>
      <c r="Y354" s="385"/>
      <c r="Z354" s="384"/>
      <c r="AA354" s="385"/>
      <c r="AB354" s="51">
        <f t="shared" si="134"/>
        <v>12927.629999999373</v>
      </c>
      <c r="AC354" s="50">
        <f t="shared" si="135"/>
        <v>415.40999999999997</v>
      </c>
    </row>
    <row r="355" spans="1:29" ht="12.75" hidden="1">
      <c r="A355" s="33" t="s">
        <v>129</v>
      </c>
      <c r="B355" s="32">
        <f aca="true" t="shared" si="136" ref="B355:M355">SUM(B356:B356)</f>
        <v>0</v>
      </c>
      <c r="C355" s="31">
        <f t="shared" si="136"/>
        <v>0</v>
      </c>
      <c r="D355" s="32">
        <f t="shared" si="136"/>
        <v>0</v>
      </c>
      <c r="E355" s="31">
        <f t="shared" si="136"/>
        <v>0</v>
      </c>
      <c r="F355" s="32">
        <f t="shared" si="136"/>
        <v>0</v>
      </c>
      <c r="G355" s="31">
        <f t="shared" si="136"/>
        <v>0</v>
      </c>
      <c r="H355" s="32">
        <f t="shared" si="136"/>
        <v>0</v>
      </c>
      <c r="I355" s="31">
        <f t="shared" si="136"/>
        <v>0</v>
      </c>
      <c r="J355" s="32">
        <f t="shared" si="136"/>
        <v>0</v>
      </c>
      <c r="K355" s="31">
        <f t="shared" si="136"/>
        <v>0</v>
      </c>
      <c r="L355" s="32">
        <f t="shared" si="136"/>
        <v>0</v>
      </c>
      <c r="M355" s="31">
        <f t="shared" si="136"/>
        <v>0</v>
      </c>
      <c r="N355" s="32">
        <f t="shared" si="131"/>
        <v>0</v>
      </c>
      <c r="O355" s="31">
        <f t="shared" si="132"/>
        <v>0</v>
      </c>
      <c r="P355" s="32">
        <f aca="true" t="shared" si="137" ref="P355:AA355">SUM(P356:P356)</f>
        <v>0</v>
      </c>
      <c r="Q355" s="31">
        <f t="shared" si="137"/>
        <v>0</v>
      </c>
      <c r="R355" s="32">
        <f t="shared" si="137"/>
        <v>0</v>
      </c>
      <c r="S355" s="31">
        <f t="shared" si="137"/>
        <v>0</v>
      </c>
      <c r="T355" s="32">
        <f t="shared" si="137"/>
        <v>0</v>
      </c>
      <c r="U355" s="31">
        <f t="shared" si="137"/>
        <v>0</v>
      </c>
      <c r="V355" s="32">
        <f t="shared" si="137"/>
        <v>0</v>
      </c>
      <c r="W355" s="31">
        <f t="shared" si="137"/>
        <v>0</v>
      </c>
      <c r="X355" s="32">
        <f t="shared" si="137"/>
        <v>0</v>
      </c>
      <c r="Y355" s="31">
        <f t="shared" si="137"/>
        <v>0</v>
      </c>
      <c r="Z355" s="32">
        <f t="shared" si="137"/>
        <v>0</v>
      </c>
      <c r="AA355" s="31">
        <f t="shared" si="137"/>
        <v>0</v>
      </c>
      <c r="AB355" s="32">
        <f t="shared" si="134"/>
        <v>0</v>
      </c>
      <c r="AC355" s="31">
        <f t="shared" si="135"/>
        <v>0</v>
      </c>
    </row>
    <row r="356" spans="1:29" ht="12.75" hidden="1">
      <c r="A356" s="34" t="s">
        <v>21</v>
      </c>
      <c r="B356" s="81"/>
      <c r="C356" s="82"/>
      <c r="D356" s="81"/>
      <c r="E356" s="82"/>
      <c r="F356" s="81"/>
      <c r="G356" s="82"/>
      <c r="H356" s="81"/>
      <c r="I356" s="82"/>
      <c r="J356" s="81"/>
      <c r="K356" s="82"/>
      <c r="L356" s="81"/>
      <c r="M356" s="82"/>
      <c r="N356" s="51">
        <f t="shared" si="131"/>
        <v>0</v>
      </c>
      <c r="O356" s="50">
        <f t="shared" si="132"/>
        <v>0</v>
      </c>
      <c r="P356" s="81"/>
      <c r="Q356" s="82"/>
      <c r="R356" s="81"/>
      <c r="S356" s="82"/>
      <c r="T356" s="81"/>
      <c r="U356" s="82"/>
      <c r="V356" s="81"/>
      <c r="W356" s="82"/>
      <c r="X356" s="81"/>
      <c r="Y356" s="82"/>
      <c r="Z356" s="81"/>
      <c r="AA356" s="82"/>
      <c r="AB356" s="51">
        <f t="shared" si="134"/>
        <v>0</v>
      </c>
      <c r="AC356" s="50">
        <f t="shared" si="135"/>
        <v>0</v>
      </c>
    </row>
    <row r="357" spans="1:29" ht="12.75">
      <c r="A357" s="134" t="s">
        <v>130</v>
      </c>
      <c r="B357" s="32">
        <f aca="true" t="shared" si="138" ref="B357:AC357">SUM(B358:B360)</f>
        <v>50262.6</v>
      </c>
      <c r="C357" s="31">
        <f t="shared" si="138"/>
        <v>45456.15</v>
      </c>
      <c r="D357" s="32">
        <f t="shared" si="138"/>
        <v>50262.6</v>
      </c>
      <c r="E357" s="31">
        <f t="shared" si="138"/>
        <v>40825.82</v>
      </c>
      <c r="F357" s="32">
        <f t="shared" si="138"/>
        <v>50262.6</v>
      </c>
      <c r="G357" s="31">
        <f t="shared" si="138"/>
        <v>44943.88</v>
      </c>
      <c r="H357" s="32">
        <f t="shared" si="138"/>
        <v>50262.6</v>
      </c>
      <c r="I357" s="31">
        <f t="shared" si="138"/>
        <v>43246.21</v>
      </c>
      <c r="J357" s="32">
        <f t="shared" si="138"/>
        <v>50262.6</v>
      </c>
      <c r="K357" s="31">
        <f t="shared" si="138"/>
        <v>44431.62</v>
      </c>
      <c r="L357" s="32">
        <f t="shared" si="138"/>
        <v>50262.6</v>
      </c>
      <c r="M357" s="31">
        <f t="shared" si="138"/>
        <v>42750.47</v>
      </c>
      <c r="N357" s="32">
        <f t="shared" si="138"/>
        <v>301575.6</v>
      </c>
      <c r="O357" s="31">
        <f t="shared" si="138"/>
        <v>261654.15</v>
      </c>
      <c r="P357" s="32">
        <f t="shared" si="138"/>
        <v>50262.6</v>
      </c>
      <c r="Q357" s="31">
        <f t="shared" si="138"/>
        <v>43919.35</v>
      </c>
      <c r="R357" s="32">
        <f t="shared" si="138"/>
        <v>50262.6</v>
      </c>
      <c r="S357" s="31">
        <f t="shared" si="138"/>
        <v>43663.22</v>
      </c>
      <c r="T357" s="32">
        <f t="shared" si="138"/>
        <v>50262.6</v>
      </c>
      <c r="U357" s="31">
        <f t="shared" si="138"/>
        <v>42006.86</v>
      </c>
      <c r="V357" s="32">
        <f t="shared" si="138"/>
        <v>50262.6</v>
      </c>
      <c r="W357" s="31">
        <f t="shared" si="138"/>
        <v>43150.95</v>
      </c>
      <c r="X357" s="32">
        <f t="shared" si="138"/>
        <v>50262.6</v>
      </c>
      <c r="Y357" s="31">
        <f t="shared" si="138"/>
        <v>41511.12</v>
      </c>
      <c r="Z357" s="32">
        <f t="shared" si="138"/>
        <v>50262.6</v>
      </c>
      <c r="AA357" s="31">
        <f t="shared" si="138"/>
        <v>42638.69</v>
      </c>
      <c r="AB357" s="32">
        <f t="shared" si="138"/>
        <v>603151.1999999998</v>
      </c>
      <c r="AC357" s="31">
        <f t="shared" si="138"/>
        <v>518544.33999999997</v>
      </c>
    </row>
    <row r="358" spans="1:29" ht="12.75">
      <c r="A358" s="5" t="s">
        <v>22</v>
      </c>
      <c r="B358" s="545">
        <f>'[68]Flujo vencimientos'!B$18</f>
        <v>50262.6</v>
      </c>
      <c r="C358" s="546">
        <f>'[68]Flujo vencimientos'!C$18</f>
        <v>45456.15</v>
      </c>
      <c r="D358" s="545">
        <f>'[68]Flujo vencimientos'!D$18</f>
        <v>50262.6</v>
      </c>
      <c r="E358" s="546">
        <f>'[68]Flujo vencimientos'!E$18</f>
        <v>40825.82</v>
      </c>
      <c r="F358" s="545">
        <f>'[68]Flujo vencimientos'!F$18</f>
        <v>50262.6</v>
      </c>
      <c r="G358" s="546">
        <f>'[68]Flujo vencimientos'!G$18</f>
        <v>44943.88</v>
      </c>
      <c r="H358" s="545">
        <f>'[68]Flujo vencimientos'!H$18</f>
        <v>50262.6</v>
      </c>
      <c r="I358" s="546">
        <f>'[68]Flujo vencimientos'!I$18</f>
        <v>43246.21</v>
      </c>
      <c r="J358" s="545">
        <f>'[68]Flujo vencimientos'!J$18</f>
        <v>50262.6</v>
      </c>
      <c r="K358" s="546">
        <f>'[68]Flujo vencimientos'!K$18</f>
        <v>44431.62</v>
      </c>
      <c r="L358" s="545">
        <f>'[68]Flujo vencimientos'!L$18</f>
        <v>50262.6</v>
      </c>
      <c r="M358" s="546">
        <f>'[68]Flujo vencimientos'!M$18</f>
        <v>42750.47</v>
      </c>
      <c r="N358" s="547">
        <f>B358+D358+F358+H358+J358+L358</f>
        <v>301575.6</v>
      </c>
      <c r="O358" s="84">
        <f>C358+E358+G358+I358+K358+M358</f>
        <v>261654.15</v>
      </c>
      <c r="P358" s="545">
        <f>'[68]Flujo vencimientos'!N$18</f>
        <v>50262.6</v>
      </c>
      <c r="Q358" s="546">
        <f>'[68]Flujo vencimientos'!O$18</f>
        <v>43919.35</v>
      </c>
      <c r="R358" s="545">
        <f>'[68]Flujo vencimientos'!P$18</f>
        <v>50262.6</v>
      </c>
      <c r="S358" s="546">
        <f>'[68]Flujo vencimientos'!Q$18</f>
        <v>43663.22</v>
      </c>
      <c r="T358" s="545">
        <f>'[68]Flujo vencimientos'!R$18</f>
        <v>50262.6</v>
      </c>
      <c r="U358" s="546">
        <f>'[68]Flujo vencimientos'!S$18</f>
        <v>42006.86</v>
      </c>
      <c r="V358" s="545">
        <f>'[68]Flujo vencimientos'!T$18</f>
        <v>50262.6</v>
      </c>
      <c r="W358" s="546">
        <f>'[68]Flujo vencimientos'!U$18</f>
        <v>43150.95</v>
      </c>
      <c r="X358" s="545">
        <f>'[68]Flujo vencimientos'!V$18</f>
        <v>50262.6</v>
      </c>
      <c r="Y358" s="546">
        <f>'[68]Flujo vencimientos'!W$18</f>
        <v>41511.12</v>
      </c>
      <c r="Z358" s="545">
        <f>'[68]Flujo vencimientos'!X$18</f>
        <v>50262.6</v>
      </c>
      <c r="AA358" s="546">
        <f>'[68]Flujo vencimientos'!Y$18</f>
        <v>42638.69</v>
      </c>
      <c r="AB358" s="547">
        <f>+N358+P358+R358+T358+V358+X358+Z358</f>
        <v>603151.1999999998</v>
      </c>
      <c r="AC358" s="84">
        <f>O358+Q358+S358+U358+W358+Y358+AA358</f>
        <v>518544.33999999997</v>
      </c>
    </row>
    <row r="359" spans="1:29" ht="12.75" hidden="1">
      <c r="A359" s="5" t="s">
        <v>8</v>
      </c>
      <c r="B359" s="545"/>
      <c r="C359" s="546"/>
      <c r="D359" s="545"/>
      <c r="E359" s="546"/>
      <c r="F359" s="545"/>
      <c r="G359" s="546"/>
      <c r="H359" s="545"/>
      <c r="I359" s="546"/>
      <c r="J359" s="545"/>
      <c r="K359" s="546"/>
      <c r="L359" s="545"/>
      <c r="M359" s="546"/>
      <c r="N359" s="547">
        <f t="shared" si="131"/>
        <v>0</v>
      </c>
      <c r="O359" s="84">
        <f t="shared" si="132"/>
        <v>0</v>
      </c>
      <c r="P359" s="545"/>
      <c r="Q359" s="546"/>
      <c r="R359" s="545"/>
      <c r="S359" s="546"/>
      <c r="T359" s="545"/>
      <c r="U359" s="546"/>
      <c r="V359" s="545"/>
      <c r="W359" s="546"/>
      <c r="X359" s="545"/>
      <c r="Y359" s="546"/>
      <c r="Z359" s="545"/>
      <c r="AA359" s="546"/>
      <c r="AB359" s="547">
        <f t="shared" si="134"/>
        <v>0</v>
      </c>
      <c r="AC359" s="84">
        <f t="shared" si="135"/>
        <v>0</v>
      </c>
    </row>
    <row r="360" spans="1:29" ht="12.75" hidden="1">
      <c r="A360" s="5" t="s">
        <v>11</v>
      </c>
      <c r="B360" s="545"/>
      <c r="C360" s="546"/>
      <c r="D360" s="545"/>
      <c r="E360" s="546"/>
      <c r="F360" s="545"/>
      <c r="G360" s="546"/>
      <c r="H360" s="545"/>
      <c r="I360" s="546"/>
      <c r="J360" s="545"/>
      <c r="K360" s="546"/>
      <c r="L360" s="545"/>
      <c r="M360" s="546"/>
      <c r="N360" s="547">
        <f t="shared" si="131"/>
        <v>0</v>
      </c>
      <c r="O360" s="84">
        <f t="shared" si="132"/>
        <v>0</v>
      </c>
      <c r="P360" s="545"/>
      <c r="Q360" s="546"/>
      <c r="R360" s="545"/>
      <c r="S360" s="546"/>
      <c r="T360" s="545"/>
      <c r="U360" s="546"/>
      <c r="V360" s="545"/>
      <c r="W360" s="546"/>
      <c r="X360" s="545"/>
      <c r="Y360" s="546"/>
      <c r="Z360" s="545"/>
      <c r="AA360" s="546"/>
      <c r="AB360" s="547">
        <f t="shared" si="134"/>
        <v>0</v>
      </c>
      <c r="AC360" s="84">
        <f t="shared" si="135"/>
        <v>0</v>
      </c>
    </row>
    <row r="361" spans="1:29" s="1" customFormat="1" ht="12">
      <c r="A361" s="134" t="s">
        <v>179</v>
      </c>
      <c r="B361" s="32">
        <f aca="true" t="shared" si="139" ref="B361:M361">SUM(B362:B363)</f>
        <v>69266.18</v>
      </c>
      <c r="C361" s="31">
        <f t="shared" si="139"/>
        <v>6553.69</v>
      </c>
      <c r="D361" s="32">
        <f t="shared" si="139"/>
        <v>69711.91</v>
      </c>
      <c r="E361" s="31">
        <f t="shared" si="139"/>
        <v>6107.97</v>
      </c>
      <c r="F361" s="32">
        <f t="shared" si="139"/>
        <v>70160.98000000001</v>
      </c>
      <c r="G361" s="31">
        <f t="shared" si="139"/>
        <v>5658.9</v>
      </c>
      <c r="H361" s="32">
        <f t="shared" si="139"/>
        <v>70613.42</v>
      </c>
      <c r="I361" s="31">
        <f t="shared" si="139"/>
        <v>5206.46</v>
      </c>
      <c r="J361" s="32">
        <f t="shared" si="139"/>
        <v>71069.25</v>
      </c>
      <c r="K361" s="31">
        <f t="shared" si="139"/>
        <v>4750.63</v>
      </c>
      <c r="L361" s="32">
        <f t="shared" si="139"/>
        <v>71528.5</v>
      </c>
      <c r="M361" s="31">
        <f t="shared" si="139"/>
        <v>4291.38</v>
      </c>
      <c r="N361" s="32">
        <f t="shared" si="131"/>
        <v>422350.24</v>
      </c>
      <c r="O361" s="31">
        <f t="shared" si="132"/>
        <v>32569.03</v>
      </c>
      <c r="P361" s="32">
        <f aca="true" t="shared" si="140" ref="P361:AA361">SUM(P362:P363)</f>
        <v>71991.19</v>
      </c>
      <c r="Q361" s="31">
        <f t="shared" si="140"/>
        <v>3828.69</v>
      </c>
      <c r="R361" s="32">
        <f t="shared" si="140"/>
        <v>72457.35</v>
      </c>
      <c r="S361" s="31">
        <f t="shared" si="140"/>
        <v>3362.52</v>
      </c>
      <c r="T361" s="32">
        <f t="shared" si="140"/>
        <v>72927.01999999999</v>
      </c>
      <c r="U361" s="31">
        <f t="shared" si="140"/>
        <v>2892.86</v>
      </c>
      <c r="V361" s="32">
        <f t="shared" si="140"/>
        <v>73400.2</v>
      </c>
      <c r="W361" s="31">
        <f t="shared" si="140"/>
        <v>2419.68</v>
      </c>
      <c r="X361" s="32">
        <f t="shared" si="140"/>
        <v>73876.93</v>
      </c>
      <c r="Y361" s="31">
        <f t="shared" si="140"/>
        <v>1942.95</v>
      </c>
      <c r="Z361" s="32">
        <f t="shared" si="140"/>
        <v>74357.23000000001</v>
      </c>
      <c r="AA361" s="31">
        <f t="shared" si="140"/>
        <v>1462.64</v>
      </c>
      <c r="AB361" s="32">
        <f t="shared" si="134"/>
        <v>861360.1599999999</v>
      </c>
      <c r="AC361" s="31">
        <f t="shared" si="135"/>
        <v>48478.369999999995</v>
      </c>
    </row>
    <row r="362" spans="1:29" s="1" customFormat="1" ht="12">
      <c r="A362" s="34" t="str">
        <f>A325</f>
        <v>Maipú (ENOSHA)</v>
      </c>
      <c r="B362" s="81">
        <f>'[19]Flujo para el libro'!B$18</f>
        <v>59430.18</v>
      </c>
      <c r="C362" s="82">
        <f>'[19]Flujo para el libro'!C$18</f>
        <v>6553.69</v>
      </c>
      <c r="D362" s="81">
        <f>'[19]Flujo para el libro'!D$18</f>
        <v>59875.91</v>
      </c>
      <c r="E362" s="82">
        <f>'[19]Flujo para el libro'!E$18</f>
        <v>6107.97</v>
      </c>
      <c r="F362" s="81">
        <f>'[19]Flujo para el libro'!F$18</f>
        <v>60324.98</v>
      </c>
      <c r="G362" s="82">
        <f>'[19]Flujo para el libro'!G$18</f>
        <v>5658.9</v>
      </c>
      <c r="H362" s="81">
        <f>'[19]Flujo para el libro'!H$18</f>
        <v>60777.42</v>
      </c>
      <c r="I362" s="82">
        <f>'[19]Flujo para el libro'!I$18</f>
        <v>5206.46</v>
      </c>
      <c r="J362" s="81">
        <f>'[19]Flujo para el libro'!J$18</f>
        <v>61233.25</v>
      </c>
      <c r="K362" s="82">
        <f>'[19]Flujo para el libro'!K$18</f>
        <v>4750.63</v>
      </c>
      <c r="L362" s="81">
        <f>'[19]Flujo para el libro'!L$18</f>
        <v>61692.5</v>
      </c>
      <c r="M362" s="82">
        <f>'[19]Flujo para el libro'!M$18</f>
        <v>4291.38</v>
      </c>
      <c r="N362" s="51">
        <f t="shared" si="131"/>
        <v>363334.24</v>
      </c>
      <c r="O362" s="50">
        <f t="shared" si="132"/>
        <v>32569.03</v>
      </c>
      <c r="P362" s="81">
        <f>'[19]Flujo para el libro'!N$18</f>
        <v>62155.19</v>
      </c>
      <c r="Q362" s="82">
        <f>'[19]Flujo para el libro'!O$18</f>
        <v>3828.69</v>
      </c>
      <c r="R362" s="81">
        <f>'[19]Flujo para el libro'!P$18</f>
        <v>62621.35</v>
      </c>
      <c r="S362" s="82">
        <f>'[19]Flujo para el libro'!Q$18</f>
        <v>3362.52</v>
      </c>
      <c r="T362" s="81">
        <f>'[19]Flujo para el libro'!R$18</f>
        <v>63091.02</v>
      </c>
      <c r="U362" s="82">
        <f>'[19]Flujo para el libro'!S$18</f>
        <v>2892.86</v>
      </c>
      <c r="V362" s="81">
        <f>'[19]Flujo para el libro'!T$18</f>
        <v>63564.2</v>
      </c>
      <c r="W362" s="82">
        <f>'[19]Flujo para el libro'!U$18</f>
        <v>2419.68</v>
      </c>
      <c r="X362" s="81">
        <f>'[19]Flujo para el libro'!V$18</f>
        <v>64040.93</v>
      </c>
      <c r="Y362" s="82">
        <f>'[19]Flujo para el libro'!W$18</f>
        <v>1942.95</v>
      </c>
      <c r="Z362" s="81">
        <f>'[19]Flujo para el libro'!X$18</f>
        <v>64521.23</v>
      </c>
      <c r="AA362" s="82">
        <f>'[19]Flujo para el libro'!Y$18</f>
        <v>1462.64</v>
      </c>
      <c r="AB362" s="51">
        <f t="shared" si="134"/>
        <v>743328.1599999999</v>
      </c>
      <c r="AC362" s="50">
        <f t="shared" si="135"/>
        <v>48478.369999999995</v>
      </c>
    </row>
    <row r="363" spans="1:29" s="1" customFormat="1" ht="12.75" thickBot="1">
      <c r="A363" s="399" t="str">
        <f>A327</f>
        <v>Tupungato (DAABO)</v>
      </c>
      <c r="B363" s="291">
        <f>'[1]Flujos Vencimientos'!B$18</f>
        <v>9836</v>
      </c>
      <c r="C363" s="292"/>
      <c r="D363" s="291">
        <f>'[1]Flujos Vencimientos'!D$18</f>
        <v>9836</v>
      </c>
      <c r="E363" s="292"/>
      <c r="F363" s="291">
        <f>'[1]Flujos Vencimientos'!F$18</f>
        <v>9836</v>
      </c>
      <c r="G363" s="292"/>
      <c r="H363" s="291">
        <f>'[1]Flujos Vencimientos'!H$18</f>
        <v>9836</v>
      </c>
      <c r="I363" s="292"/>
      <c r="J363" s="291">
        <f>'[1]Flujos Vencimientos'!J$18</f>
        <v>9836</v>
      </c>
      <c r="K363" s="292"/>
      <c r="L363" s="291">
        <f>'[1]Flujos Vencimientos'!L$18</f>
        <v>9836</v>
      </c>
      <c r="M363" s="292"/>
      <c r="N363" s="51">
        <f t="shared" si="131"/>
        <v>59016</v>
      </c>
      <c r="O363" s="50">
        <f t="shared" si="132"/>
        <v>0</v>
      </c>
      <c r="P363" s="291">
        <f>'[1]Flujos Vencimientos'!N$18</f>
        <v>9836</v>
      </c>
      <c r="Q363" s="292"/>
      <c r="R363" s="291">
        <f>'[1]Flujos Vencimientos'!P$18</f>
        <v>9836</v>
      </c>
      <c r="S363" s="292"/>
      <c r="T363" s="291">
        <f>'[1]Flujos Vencimientos'!R$18</f>
        <v>9836</v>
      </c>
      <c r="U363" s="292"/>
      <c r="V363" s="291">
        <f>'[1]Flujos Vencimientos'!T$18</f>
        <v>9836</v>
      </c>
      <c r="W363" s="292"/>
      <c r="X363" s="291">
        <f>'[1]Flujos Vencimientos'!V$18</f>
        <v>9836</v>
      </c>
      <c r="Y363" s="292"/>
      <c r="Z363" s="291">
        <f>'[1]Flujos Vencimientos'!X$18</f>
        <v>9836</v>
      </c>
      <c r="AA363" s="292"/>
      <c r="AB363" s="51">
        <f t="shared" si="134"/>
        <v>118032</v>
      </c>
      <c r="AC363" s="50">
        <f t="shared" si="135"/>
        <v>0</v>
      </c>
    </row>
    <row r="364" spans="1:29" s="42" customFormat="1" ht="12.75" thickBot="1">
      <c r="A364" s="30" t="s">
        <v>121</v>
      </c>
      <c r="B364" s="28">
        <f>+B351+B355+B357+B361</f>
        <v>1005121.2399999895</v>
      </c>
      <c r="C364" s="27">
        <f>+C351+C355+C357+C361</f>
        <v>53909.65</v>
      </c>
      <c r="D364" s="28">
        <f aca="true" t="shared" si="141" ref="D364:M364">+D351+D355+D357+D361</f>
        <v>119974.51000000001</v>
      </c>
      <c r="E364" s="27">
        <f t="shared" si="141"/>
        <v>46933.79</v>
      </c>
      <c r="F364" s="28">
        <f t="shared" si="141"/>
        <v>120423.58000000002</v>
      </c>
      <c r="G364" s="27">
        <f t="shared" si="141"/>
        <v>50602.78</v>
      </c>
      <c r="H364" s="28">
        <f t="shared" si="141"/>
        <v>120876.01999999999</v>
      </c>
      <c r="I364" s="27">
        <f t="shared" si="141"/>
        <v>48452.67</v>
      </c>
      <c r="J364" s="28">
        <f t="shared" si="141"/>
        <v>121331.85</v>
      </c>
      <c r="K364" s="27">
        <f t="shared" si="141"/>
        <v>49182.25</v>
      </c>
      <c r="L364" s="28">
        <f t="shared" si="141"/>
        <v>121791.1</v>
      </c>
      <c r="M364" s="27">
        <f t="shared" si="141"/>
        <v>47041.85</v>
      </c>
      <c r="N364" s="28">
        <f t="shared" si="131"/>
        <v>1609518.2999999898</v>
      </c>
      <c r="O364" s="27">
        <f t="shared" si="132"/>
        <v>296122.99</v>
      </c>
      <c r="P364" s="28">
        <f aca="true" t="shared" si="142" ref="P364:AA364">+P351+P355+P357+P361</f>
        <v>122253.79000000001</v>
      </c>
      <c r="Q364" s="27">
        <f t="shared" si="142"/>
        <v>47748.04</v>
      </c>
      <c r="R364" s="28">
        <f t="shared" si="142"/>
        <v>122719.95000000001</v>
      </c>
      <c r="S364" s="27">
        <f t="shared" si="142"/>
        <v>47025.74</v>
      </c>
      <c r="T364" s="28">
        <f t="shared" si="142"/>
        <v>123189.62</v>
      </c>
      <c r="U364" s="27">
        <f t="shared" si="142"/>
        <v>44899.72</v>
      </c>
      <c r="V364" s="28">
        <f t="shared" si="142"/>
        <v>123662.79999999999</v>
      </c>
      <c r="W364" s="27">
        <f t="shared" si="142"/>
        <v>45570.63</v>
      </c>
      <c r="X364" s="28">
        <f t="shared" si="142"/>
        <v>124139.53</v>
      </c>
      <c r="Y364" s="27">
        <f t="shared" si="142"/>
        <v>43454.07</v>
      </c>
      <c r="Z364" s="28">
        <f t="shared" si="142"/>
        <v>124619.83000000002</v>
      </c>
      <c r="AA364" s="27">
        <f t="shared" si="142"/>
        <v>44101.33</v>
      </c>
      <c r="AB364" s="28">
        <f t="shared" si="134"/>
        <v>2350103.8199999896</v>
      </c>
      <c r="AC364" s="27">
        <f t="shared" si="135"/>
        <v>568922.5199999999</v>
      </c>
    </row>
    <row r="365" spans="1:29" s="295" customFormat="1" ht="6" customHeight="1" thickBot="1">
      <c r="A365" s="77"/>
      <c r="B365" s="294"/>
      <c r="C365" s="294"/>
      <c r="D365" s="294"/>
      <c r="E365" s="294"/>
      <c r="F365" s="294"/>
      <c r="G365" s="294"/>
      <c r="H365" s="294"/>
      <c r="I365" s="294"/>
      <c r="J365" s="294"/>
      <c r="K365" s="294"/>
      <c r="L365" s="294"/>
      <c r="M365" s="294"/>
      <c r="N365" s="294"/>
      <c r="O365" s="294"/>
      <c r="P365" s="294"/>
      <c r="Q365" s="294"/>
      <c r="R365" s="294"/>
      <c r="S365" s="294"/>
      <c r="T365" s="294"/>
      <c r="U365" s="294"/>
      <c r="V365" s="294"/>
      <c r="W365" s="294"/>
      <c r="X365" s="294"/>
      <c r="Y365" s="294"/>
      <c r="Z365" s="294"/>
      <c r="AA365" s="294"/>
      <c r="AB365" s="294"/>
      <c r="AC365" s="294"/>
    </row>
    <row r="366" spans="1:29" ht="15.75" thickBot="1">
      <c r="A366" s="87" t="s">
        <v>93</v>
      </c>
      <c r="B366" s="28">
        <f>+B348+B364</f>
        <v>1880400.5599999896</v>
      </c>
      <c r="C366" s="27">
        <f aca="true" t="shared" si="143" ref="C366:M366">+C348+C364</f>
        <v>125274.92000000001</v>
      </c>
      <c r="D366" s="28">
        <f t="shared" si="143"/>
        <v>998424.79</v>
      </c>
      <c r="E366" s="27">
        <f t="shared" si="143"/>
        <v>110278.53</v>
      </c>
      <c r="F366" s="28">
        <f t="shared" si="143"/>
        <v>1002056.6599999999</v>
      </c>
      <c r="G366" s="27">
        <f t="shared" si="143"/>
        <v>119490.91</v>
      </c>
      <c r="H366" s="28">
        <f t="shared" si="143"/>
        <v>1005703.0499999999</v>
      </c>
      <c r="I366" s="27">
        <f t="shared" si="143"/>
        <v>113905.57</v>
      </c>
      <c r="J366" s="28">
        <f t="shared" si="143"/>
        <v>1009364.83</v>
      </c>
      <c r="K366" s="27">
        <f t="shared" si="143"/>
        <v>115553.5</v>
      </c>
      <c r="L366" s="28">
        <f t="shared" si="143"/>
        <v>1013041.2000000001</v>
      </c>
      <c r="M366" s="27">
        <f t="shared" si="143"/>
        <v>110039.86000000002</v>
      </c>
      <c r="N366" s="28">
        <f>B366+D366+F366+H366+J366+L366</f>
        <v>6908991.08999999</v>
      </c>
      <c r="O366" s="27">
        <f>C366+E366+G366+I366+K366+M366</f>
        <v>694543.2899999999</v>
      </c>
      <c r="P366" s="28">
        <f aca="true" t="shared" si="144" ref="P366:AA366">+P348+P364</f>
        <v>1016733.1000000001</v>
      </c>
      <c r="Q366" s="27">
        <f t="shared" si="144"/>
        <v>111562.31</v>
      </c>
      <c r="R366" s="28">
        <f t="shared" si="144"/>
        <v>1020439.76</v>
      </c>
      <c r="S366" s="27">
        <f t="shared" si="144"/>
        <v>109546.38</v>
      </c>
      <c r="T366" s="28">
        <f t="shared" si="144"/>
        <v>1024162.0599999999</v>
      </c>
      <c r="U366" s="27">
        <f t="shared" si="144"/>
        <v>104141.60999999999</v>
      </c>
      <c r="V366" s="28">
        <f t="shared" si="144"/>
        <v>1027899.26</v>
      </c>
      <c r="W366" s="27">
        <f t="shared" si="144"/>
        <v>105473.17</v>
      </c>
      <c r="X366" s="28">
        <f t="shared" si="144"/>
        <v>1031652.2600000001</v>
      </c>
      <c r="Y366" s="27">
        <f t="shared" si="144"/>
        <v>100142.5</v>
      </c>
      <c r="Z366" s="28">
        <f t="shared" si="144"/>
        <v>1035420.27</v>
      </c>
      <c r="AA366" s="27">
        <f t="shared" si="144"/>
        <v>101344.42000000001</v>
      </c>
      <c r="AB366" s="28">
        <f>+N366+P366+R366+T366+V366+X366+Z366</f>
        <v>13065297.79999999</v>
      </c>
      <c r="AC366" s="27">
        <f>O366+Q366+S366+U366+W366+Y366+AA366</f>
        <v>1326753.6799999997</v>
      </c>
    </row>
    <row r="369" spans="1:30" ht="27" thickBot="1">
      <c r="A369" s="21"/>
      <c r="B369" s="21"/>
      <c r="C369" s="21"/>
      <c r="D369" s="21"/>
      <c r="E369" s="21"/>
      <c r="F369" s="21"/>
      <c r="G369" s="21"/>
      <c r="H369" s="22" t="s">
        <v>141</v>
      </c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2" t="str">
        <f>H369</f>
        <v>AÑO 2019</v>
      </c>
      <c r="W369" s="21"/>
      <c r="X369" s="21"/>
      <c r="Y369" s="21"/>
      <c r="Z369" s="21"/>
      <c r="AA369" s="21"/>
      <c r="AB369" s="755"/>
      <c r="AC369" s="755"/>
      <c r="AD369" s="16" t="str">
        <f>V369</f>
        <v>AÑO 2019</v>
      </c>
    </row>
    <row r="370" spans="1:29" s="42" customFormat="1" ht="12.75" thickBot="1">
      <c r="A370" s="45" t="s">
        <v>96</v>
      </c>
      <c r="B370" s="44"/>
      <c r="C370" s="44"/>
      <c r="D370" s="44"/>
      <c r="E370" s="44"/>
      <c r="F370" s="44"/>
      <c r="G370" s="44"/>
      <c r="H370" s="44" t="s">
        <v>144</v>
      </c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 t="str">
        <f>H370</f>
        <v>TOMADOS EN DOLARES</v>
      </c>
      <c r="W370" s="44"/>
      <c r="X370" s="44"/>
      <c r="Y370" s="44"/>
      <c r="Z370" s="44"/>
      <c r="AA370" s="44"/>
      <c r="AB370" s="44"/>
      <c r="AC370" s="52"/>
    </row>
    <row r="371" spans="1:29" ht="12.75">
      <c r="A371" s="75" t="s">
        <v>122</v>
      </c>
      <c r="B371" s="69">
        <f>SUM(B372:B383)</f>
        <v>914100.4400000002</v>
      </c>
      <c r="C371" s="70">
        <f>SUM(C372:C383)</f>
        <v>55897.88</v>
      </c>
      <c r="D371" s="69">
        <f aca="true" t="shared" si="145" ref="D371:M371">SUM(D372:D383)</f>
        <v>917412.0499999998</v>
      </c>
      <c r="E371" s="70">
        <f t="shared" si="145"/>
        <v>49263.69</v>
      </c>
      <c r="F371" s="69">
        <f t="shared" si="145"/>
        <v>920736.04</v>
      </c>
      <c r="G371" s="70">
        <f t="shared" si="145"/>
        <v>53175.74</v>
      </c>
      <c r="H371" s="69">
        <f t="shared" si="145"/>
        <v>924071.69</v>
      </c>
      <c r="I371" s="70">
        <f t="shared" si="145"/>
        <v>50127.69</v>
      </c>
      <c r="J371" s="69">
        <f t="shared" si="145"/>
        <v>927419.76</v>
      </c>
      <c r="K371" s="70">
        <f t="shared" si="145"/>
        <v>50410.98</v>
      </c>
      <c r="L371" s="69">
        <f t="shared" si="145"/>
        <v>930779.63</v>
      </c>
      <c r="M371" s="70">
        <f t="shared" si="145"/>
        <v>47431.39</v>
      </c>
      <c r="N371" s="69">
        <f aca="true" t="shared" si="146" ref="N371:N384">B371+D371+F371+H371+J371+L371</f>
        <v>5534519.61</v>
      </c>
      <c r="O371" s="70">
        <f aca="true" t="shared" si="147" ref="O371:O384">C371+E371+G371+I371+K371+M371</f>
        <v>306307.37</v>
      </c>
      <c r="P371" s="69">
        <f aca="true" t="shared" si="148" ref="P371:AA371">SUM(P372:P383)</f>
        <v>934152.05</v>
      </c>
      <c r="Q371" s="70">
        <f t="shared" si="148"/>
        <v>47603.219999999994</v>
      </c>
      <c r="R371" s="69">
        <f t="shared" si="148"/>
        <v>937536.25</v>
      </c>
      <c r="S371" s="70">
        <f t="shared" si="148"/>
        <v>46183.35</v>
      </c>
      <c r="T371" s="69">
        <f t="shared" si="148"/>
        <v>940933.1500000001</v>
      </c>
      <c r="U371" s="70">
        <f t="shared" si="148"/>
        <v>43308.61</v>
      </c>
      <c r="V371" s="69">
        <f t="shared" si="148"/>
        <v>944341.8699999999</v>
      </c>
      <c r="W371" s="70">
        <f t="shared" si="148"/>
        <v>43310.35</v>
      </c>
      <c r="X371" s="69">
        <f t="shared" si="148"/>
        <v>947763.5099999999</v>
      </c>
      <c r="Y371" s="70">
        <f t="shared" si="148"/>
        <v>40507.25</v>
      </c>
      <c r="Z371" s="69">
        <f t="shared" si="148"/>
        <v>951196.9</v>
      </c>
      <c r="AA371" s="70">
        <f t="shared" si="148"/>
        <v>40393.299999999996</v>
      </c>
      <c r="AB371" s="69">
        <f aca="true" t="shared" si="149" ref="AB371:AB384">+N371+P371+R371+T371+V371+X371+Z371</f>
        <v>11190443.34</v>
      </c>
      <c r="AC371" s="70">
        <f aca="true" t="shared" si="150" ref="AC371:AC384">O371+Q371+S371+U371+W371+Y371+AA371</f>
        <v>567613.45</v>
      </c>
    </row>
    <row r="372" spans="1:29" ht="12.75">
      <c r="A372" s="34" t="s">
        <v>1</v>
      </c>
      <c r="B372" s="67">
        <f>'[24]Flujo Vencimientos'!B$19</f>
        <v>98628.96</v>
      </c>
      <c r="C372" s="68">
        <f>'[24]Flujo Vencimientos'!C$19</f>
        <v>6031.22</v>
      </c>
      <c r="D372" s="67">
        <f>'[24]Flujo Vencimientos'!D$19</f>
        <v>98986.22</v>
      </c>
      <c r="E372" s="68">
        <f>'[24]Flujo Vencimientos'!E$19</f>
        <v>5315.429999999999</v>
      </c>
      <c r="F372" s="67">
        <f>'[24]Flujo Vencimientos'!F$19</f>
        <v>99344.92</v>
      </c>
      <c r="G372" s="68">
        <f>'[24]Flujo Vencimientos'!G$19</f>
        <v>5737.51</v>
      </c>
      <c r="H372" s="67">
        <f>'[24]Flujo Vencimientos'!H$19</f>
        <v>99704.78</v>
      </c>
      <c r="I372" s="68">
        <f>'[24]Flujo Vencimientos'!I$19</f>
        <v>5408.64</v>
      </c>
      <c r="J372" s="67">
        <f>'[24]Flujo Vencimientos'!J$19</f>
        <v>100066.08</v>
      </c>
      <c r="K372" s="68">
        <f>'[24]Flujo Vencimientos'!K$19</f>
        <v>5439.22</v>
      </c>
      <c r="L372" s="67">
        <f>'[24]Flujo Vencimientos'!L$19</f>
        <v>100428.55</v>
      </c>
      <c r="M372" s="68">
        <f>'[24]Flujo Vencimientos'!M$19</f>
        <v>5117.76</v>
      </c>
      <c r="N372" s="73">
        <f t="shared" si="146"/>
        <v>597159.51</v>
      </c>
      <c r="O372" s="74">
        <f t="shared" si="147"/>
        <v>33049.78</v>
      </c>
      <c r="P372" s="67">
        <f>'[24]Flujo Vencimientos'!N$19</f>
        <v>100792.47</v>
      </c>
      <c r="Q372" s="68">
        <f>'[24]Flujo Vencimientos'!O$19</f>
        <v>5136.3</v>
      </c>
      <c r="R372" s="67">
        <f>'[24]Flujo Vencimientos'!P$19</f>
        <v>101157.57</v>
      </c>
      <c r="S372" s="68">
        <f>'[24]Flujo Vencimientos'!Q$19</f>
        <v>4983.08</v>
      </c>
      <c r="T372" s="67">
        <f>'[24]Flujo Vencimientos'!R$19</f>
        <v>101524.13</v>
      </c>
      <c r="U372" s="68">
        <f>'[24]Flujo Vencimientos'!S$19</f>
        <v>4672.88</v>
      </c>
      <c r="V372" s="67">
        <f>'[24]Flujo Vencimientos'!T$19</f>
        <v>101891.88</v>
      </c>
      <c r="W372" s="68">
        <f>'[24]Flujo Vencimientos'!U$19</f>
        <v>4673.04</v>
      </c>
      <c r="X372" s="67">
        <f>'[24]Flujo Vencimientos'!V$19</f>
        <v>102261.11</v>
      </c>
      <c r="Y372" s="68">
        <f>'[24]Flujo Vencimientos'!W$19</f>
        <v>4370.63</v>
      </c>
      <c r="Z372" s="67">
        <f>'[24]Flujo Vencimientos'!X$19</f>
        <v>102631.53</v>
      </c>
      <c r="AA372" s="68">
        <f>'[24]Flujo Vencimientos'!Y$19</f>
        <v>4358.3099999999995</v>
      </c>
      <c r="AB372" s="73">
        <f t="shared" si="149"/>
        <v>1207418.2000000002</v>
      </c>
      <c r="AC372" s="74">
        <f t="shared" si="150"/>
        <v>61244.02</v>
      </c>
    </row>
    <row r="373" spans="1:29" ht="12.75">
      <c r="A373" s="34" t="s">
        <v>21</v>
      </c>
      <c r="B373" s="67">
        <f>'[26]Flujo de Vencimientos'!B$19</f>
        <v>59692.93</v>
      </c>
      <c r="C373" s="68">
        <f>'[26]Flujo de Vencimientos'!C$19</f>
        <v>3650.28</v>
      </c>
      <c r="D373" s="67">
        <f>'[26]Flujo de Vencimientos'!D$19</f>
        <v>59909.2</v>
      </c>
      <c r="E373" s="68">
        <f>'[26]Flujo de Vencimientos'!E$19</f>
        <v>3217.04</v>
      </c>
      <c r="F373" s="67">
        <f>'[26]Flujo de Vencimientos'!F$19</f>
        <v>60126.25</v>
      </c>
      <c r="G373" s="68">
        <f>'[26]Flujo de Vencimientos'!G$19</f>
        <v>3472.5</v>
      </c>
      <c r="H373" s="67">
        <f>'[26]Flujo de Vencimientos'!H$19</f>
        <v>60344.09</v>
      </c>
      <c r="I373" s="68">
        <f>'[26]Flujo de Vencimientos'!I$19</f>
        <v>3273.49</v>
      </c>
      <c r="J373" s="67">
        <f>'[26]Flujo de Vencimientos'!J$19</f>
        <v>60562.71</v>
      </c>
      <c r="K373" s="68">
        <f>'[26]Flujo de Vencimientos'!K$19</f>
        <v>3291.95</v>
      </c>
      <c r="L373" s="67">
        <f>'[26]Flujo de Vencimientos'!L$19</f>
        <v>60782.13</v>
      </c>
      <c r="M373" s="68">
        <f>'[26]Flujo de Vencimientos'!M$19</f>
        <v>3097.38</v>
      </c>
      <c r="N373" s="73">
        <f t="shared" si="146"/>
        <v>361417.31</v>
      </c>
      <c r="O373" s="74">
        <f t="shared" si="147"/>
        <v>20002.64</v>
      </c>
      <c r="P373" s="67">
        <f>'[26]Flujo de Vencimientos'!N$19</f>
        <v>61002.35</v>
      </c>
      <c r="Q373" s="68">
        <f>'[26]Flujo de Vencimientos'!O$19</f>
        <v>3108.6</v>
      </c>
      <c r="R373" s="67">
        <f>'[26]Flujo de Vencimientos'!P$19</f>
        <v>61223.36</v>
      </c>
      <c r="S373" s="68">
        <f>'[26]Flujo de Vencimientos'!Q$19</f>
        <v>3015.9</v>
      </c>
      <c r="T373" s="67">
        <f>'[26]Flujo de Vencimientos'!R$19</f>
        <v>61445.17</v>
      </c>
      <c r="U373" s="68">
        <f>'[26]Flujo de Vencimientos'!S$19</f>
        <v>2828.15</v>
      </c>
      <c r="V373" s="67">
        <f>'[26]Flujo de Vencimientos'!T$19</f>
        <v>61667.71000000001</v>
      </c>
      <c r="W373" s="68">
        <f>'[26]Flujo de Vencimientos'!U$19</f>
        <v>2828.2799999999997</v>
      </c>
      <c r="X373" s="67">
        <f>'[26]Flujo de Vencimientos'!V$19</f>
        <v>61891.21</v>
      </c>
      <c r="Y373" s="68">
        <f>'[26]Flujo de Vencimientos'!W$19</f>
        <v>2645.23</v>
      </c>
      <c r="Z373" s="67">
        <f>'[26]Flujo de Vencimientos'!X$19</f>
        <v>62115.369999999995</v>
      </c>
      <c r="AA373" s="68">
        <f>'[26]Flujo de Vencimientos'!Y$19</f>
        <v>2637.78</v>
      </c>
      <c r="AB373" s="73">
        <f t="shared" si="149"/>
        <v>730762.4799999999</v>
      </c>
      <c r="AC373" s="74">
        <f t="shared" si="150"/>
        <v>37066.58</v>
      </c>
    </row>
    <row r="374" spans="1:29" ht="12.75">
      <c r="A374" s="34" t="s">
        <v>22</v>
      </c>
      <c r="B374" s="67">
        <f>'[41]Flujo Vencimientos'!B$19</f>
        <v>93910.84000000001</v>
      </c>
      <c r="C374" s="68">
        <f>'[41]Flujo Vencimientos'!C$19</f>
        <v>5742.7300000000005</v>
      </c>
      <c r="D374" s="67">
        <f>'[41]Flujo Vencimientos'!D$19</f>
        <v>94251.01999999999</v>
      </c>
      <c r="E374" s="68">
        <f>'[41]Flujo Vencimientos'!E$19</f>
        <v>5061.17</v>
      </c>
      <c r="F374" s="67">
        <f>'[41]Flujo Vencimientos'!F$19</f>
        <v>94592.56000000001</v>
      </c>
      <c r="G374" s="68">
        <f>'[41]Flujo Vencimientos'!G$19</f>
        <v>5463.08</v>
      </c>
      <c r="H374" s="67">
        <f>'[41]Flujo Vencimientos'!H$19</f>
        <v>94935.2</v>
      </c>
      <c r="I374" s="68">
        <f>'[41]Flujo Vencimientos'!I$19</f>
        <v>5149.900000000001</v>
      </c>
      <c r="J374" s="67">
        <f>'[41]Flujo Vencimientos'!J$19</f>
        <v>95279.21</v>
      </c>
      <c r="K374" s="68">
        <f>'[41]Flujo Vencimientos'!K$19</f>
        <v>5178.9800000000005</v>
      </c>
      <c r="L374" s="67">
        <f>'[41]Flujo Vencimientos'!L$19</f>
        <v>95624.34</v>
      </c>
      <c r="M374" s="68">
        <f>'[41]Flujo Vencimientos'!M$19</f>
        <v>4872.900000000001</v>
      </c>
      <c r="N374" s="73">
        <f t="shared" si="146"/>
        <v>568593.17</v>
      </c>
      <c r="O374" s="74">
        <f t="shared" si="147"/>
        <v>31468.760000000002</v>
      </c>
      <c r="P374" s="67">
        <f>'[41]Flujo Vencimientos'!N$19</f>
        <v>95970.86</v>
      </c>
      <c r="Q374" s="68">
        <f>'[41]Flujo Vencimientos'!O$19</f>
        <v>4890.55</v>
      </c>
      <c r="R374" s="67">
        <f>'[41]Flujo Vencimientos'!P$19</f>
        <v>96318.48999999999</v>
      </c>
      <c r="S374" s="68">
        <f>'[41]Flujo Vencimientos'!Q$19</f>
        <v>4744.67</v>
      </c>
      <c r="T374" s="67">
        <f>'[41]Flujo Vencimientos'!R$19</f>
        <v>96667.52</v>
      </c>
      <c r="U374" s="68">
        <f>'[41]Flujo Vencimientos'!S$19</f>
        <v>4449.32</v>
      </c>
      <c r="V374" s="67">
        <f>'[41]Flujo Vencimientos'!T$19</f>
        <v>97017.68</v>
      </c>
      <c r="W374" s="68">
        <f>'[41]Flujo Vencimientos'!U$19</f>
        <v>4449.52</v>
      </c>
      <c r="X374" s="67">
        <f>'[41]Flujo Vencimientos'!V$19</f>
        <v>97369.24</v>
      </c>
      <c r="Y374" s="68">
        <f>'[41]Flujo Vencimientos'!W$19</f>
        <v>4161.57</v>
      </c>
      <c r="Z374" s="67">
        <f>'[41]Flujo Vencimientos'!X$19</f>
        <v>97721.94</v>
      </c>
      <c r="AA374" s="68">
        <f>'[41]Flujo Vencimientos'!Y$19</f>
        <v>4149.85</v>
      </c>
      <c r="AB374" s="73">
        <f t="shared" si="149"/>
        <v>1149658.9</v>
      </c>
      <c r="AC374" s="74">
        <f t="shared" si="150"/>
        <v>58314.240000000005</v>
      </c>
    </row>
    <row r="375" spans="1:29" ht="12.75">
      <c r="A375" s="34" t="s">
        <v>16</v>
      </c>
      <c r="B375" s="67">
        <f>'[39]Flujo Vencimiento'!B$19</f>
        <v>201241.74</v>
      </c>
      <c r="C375" s="68">
        <f>'[39]Flujo Vencimiento'!C$19</f>
        <v>12306.05</v>
      </c>
      <c r="D375" s="67">
        <f>'[39]Flujo Vencimiento'!D$19</f>
        <v>201970.77</v>
      </c>
      <c r="E375" s="68">
        <f>'[39]Flujo Vencimiento'!E$19</f>
        <v>10845.529999999999</v>
      </c>
      <c r="F375" s="67">
        <f>'[39]Flujo Vencimiento'!F$19</f>
        <v>202702.58000000002</v>
      </c>
      <c r="G375" s="68">
        <f>'[39]Flujo Vencimiento'!G$19</f>
        <v>11706.75</v>
      </c>
      <c r="H375" s="67">
        <f>'[39]Flujo Vencimiento'!H$19</f>
        <v>203436.9</v>
      </c>
      <c r="I375" s="68">
        <f>'[39]Flujo Vencimiento'!I$19</f>
        <v>11035.73</v>
      </c>
      <c r="J375" s="67">
        <f>'[39]Flujo Vencimiento'!J$19</f>
        <v>204174.02000000002</v>
      </c>
      <c r="K375" s="68">
        <f>'[39]Flujo Vencimiento'!K$19</f>
        <v>11098.09</v>
      </c>
      <c r="L375" s="67">
        <f>'[39]Flujo Vencimiento'!L$19</f>
        <v>204913.68</v>
      </c>
      <c r="M375" s="68">
        <f>'[39]Flujo Vencimiento'!M$19</f>
        <v>10442.150000000001</v>
      </c>
      <c r="N375" s="73">
        <f t="shared" si="146"/>
        <v>1218439.6900000002</v>
      </c>
      <c r="O375" s="74">
        <f t="shared" si="147"/>
        <v>67434.29999999999</v>
      </c>
      <c r="P375" s="67">
        <f>'[39]Flujo Vencimiento'!N$19</f>
        <v>205656.15</v>
      </c>
      <c r="Q375" s="68">
        <f>'[39]Flujo Vencimiento'!O$19</f>
        <v>10479.98</v>
      </c>
      <c r="R375" s="67">
        <f>'[39]Flujo Vencimiento'!P$19</f>
        <v>206401.16999999998</v>
      </c>
      <c r="S375" s="68">
        <f>'[39]Flujo Vencimiento'!Q$19</f>
        <v>10167.349999999999</v>
      </c>
      <c r="T375" s="67">
        <f>'[39]Flujo Vencimiento'!R$19</f>
        <v>207149.03</v>
      </c>
      <c r="U375" s="68">
        <f>'[39]Flujo Vencimiento'!S$19</f>
        <v>9534.5</v>
      </c>
      <c r="V375" s="67">
        <f>'[39]Flujo Vencimiento'!T$19</f>
        <v>207899.46</v>
      </c>
      <c r="W375" s="68">
        <f>'[39]Flujo Vencimiento'!U$19</f>
        <v>9534.87</v>
      </c>
      <c r="X375" s="67">
        <f>'[39]Flujo Vencimiento'!V$19</f>
        <v>208652.75</v>
      </c>
      <c r="Y375" s="68">
        <f>'[39]Flujo Vencimiento'!W$19</f>
        <v>8917.73</v>
      </c>
      <c r="Z375" s="67">
        <f>'[39]Flujo Vencimiento'!X$19</f>
        <v>209408.63</v>
      </c>
      <c r="AA375" s="68">
        <f>'[39]Flujo Vencimiento'!Y$19</f>
        <v>8892.66</v>
      </c>
      <c r="AB375" s="73">
        <f t="shared" si="149"/>
        <v>2463606.88</v>
      </c>
      <c r="AC375" s="74">
        <f t="shared" si="150"/>
        <v>124961.38999999997</v>
      </c>
    </row>
    <row r="376" spans="1:29" ht="12.75">
      <c r="A376" s="34" t="s">
        <v>15</v>
      </c>
      <c r="B376" s="67">
        <f>'[36]Flujo de Vencimientos'!B$19</f>
        <v>19664.82</v>
      </c>
      <c r="C376" s="68">
        <f>'[36]Flujo de Vencimientos'!C$19</f>
        <v>1202.49</v>
      </c>
      <c r="D376" s="67">
        <f>'[36]Flujo de Vencimientos'!D$19</f>
        <v>19736.14</v>
      </c>
      <c r="E376" s="68">
        <f>'[36]Flujo de Vencimientos'!E$19</f>
        <v>1059.81</v>
      </c>
      <c r="F376" s="67">
        <f>'[36]Flujo de Vencimientos'!F$19</f>
        <v>19807.57</v>
      </c>
      <c r="G376" s="68">
        <f>'[36]Flujo de Vencimientos'!G$19</f>
        <v>1143.96</v>
      </c>
      <c r="H376" s="67">
        <f>'[36]Flujo de Vencimientos'!H$19</f>
        <v>19879.4</v>
      </c>
      <c r="I376" s="68">
        <f>'[36]Flujo de Vencimientos'!I$19</f>
        <v>1078.38</v>
      </c>
      <c r="J376" s="67">
        <f>'[36]Flujo de Vencimientos'!J$19</f>
        <v>19951.36</v>
      </c>
      <c r="K376" s="68">
        <f>'[36]Flujo de Vencimientos'!K$19</f>
        <v>1084.51</v>
      </c>
      <c r="L376" s="67">
        <f>'[36]Flujo de Vencimientos'!L$19</f>
        <v>20023.71</v>
      </c>
      <c r="M376" s="68">
        <f>'[36]Flujo de Vencimientos'!M$19</f>
        <v>1020.37</v>
      </c>
      <c r="N376" s="73">
        <f t="shared" si="146"/>
        <v>119063</v>
      </c>
      <c r="O376" s="74">
        <f t="shared" si="147"/>
        <v>6589.52</v>
      </c>
      <c r="P376" s="67">
        <f>'[36]Flujo de Vencimientos'!N$19</f>
        <v>20096.190000000002</v>
      </c>
      <c r="Q376" s="68">
        <f>'[36]Flujo de Vencimientos'!O$19</f>
        <v>1024.07</v>
      </c>
      <c r="R376" s="67">
        <f>'[36]Flujo de Vencimientos'!P$19</f>
        <v>20169.06</v>
      </c>
      <c r="S376" s="68">
        <f>'[36]Flujo de Vencimientos'!Q$19</f>
        <v>993.5</v>
      </c>
      <c r="T376" s="67">
        <f>'[36]Flujo de Vencimientos'!R$19</f>
        <v>20242.07</v>
      </c>
      <c r="U376" s="68">
        <f>'[36]Flujo de Vencimientos'!S$19</f>
        <v>931.67</v>
      </c>
      <c r="V376" s="67">
        <f>'[36]Flujo de Vencimientos'!T$19</f>
        <v>20315.47</v>
      </c>
      <c r="W376" s="68">
        <f>'[36]Flujo de Vencimientos'!U$19</f>
        <v>931.72</v>
      </c>
      <c r="X376" s="67">
        <f>'[36]Flujo de Vencimientos'!V$19</f>
        <v>20389.010000000002</v>
      </c>
      <c r="Y376" s="68">
        <f>'[36]Flujo de Vencimientos'!W$19</f>
        <v>871.4000000000001</v>
      </c>
      <c r="Z376" s="67">
        <f>'[36]Flujo de Vencimientos'!X$19</f>
        <v>20462.95</v>
      </c>
      <c r="AA376" s="68">
        <f>'[36]Flujo de Vencimientos'!Y$19</f>
        <v>869</v>
      </c>
      <c r="AB376" s="73">
        <f t="shared" si="149"/>
        <v>240737.75000000003</v>
      </c>
      <c r="AC376" s="74">
        <f t="shared" si="150"/>
        <v>12210.88</v>
      </c>
    </row>
    <row r="377" spans="1:29" ht="12.75">
      <c r="A377" s="34" t="s">
        <v>14</v>
      </c>
      <c r="B377" s="67">
        <f>'[34]Flujo de Vencimiento'!B$19</f>
        <v>12764.8</v>
      </c>
      <c r="C377" s="68">
        <f>'[34]Flujo de Vencimiento'!C$19</f>
        <v>780.59</v>
      </c>
      <c r="D377" s="67">
        <f>'[34]Flujo de Vencimiento'!D$19</f>
        <v>12810.98</v>
      </c>
      <c r="E377" s="68">
        <f>'[34]Flujo de Vencimiento'!E$19</f>
        <v>687.94</v>
      </c>
      <c r="F377" s="67">
        <f>'[34]Flujo de Vencimiento'!F$19</f>
        <v>12857.46</v>
      </c>
      <c r="G377" s="68">
        <f>'[34]Flujo de Vencimiento'!G$19</f>
        <v>742.58</v>
      </c>
      <c r="H377" s="67">
        <f>'[34]Flujo de Vencimiento'!H$19</f>
        <v>12903.98</v>
      </c>
      <c r="I377" s="68">
        <f>'[34]Flujo de Vencimiento'!I$19</f>
        <v>699.99</v>
      </c>
      <c r="J377" s="67">
        <f>'[34]Flujo de Vencimiento'!J$19</f>
        <v>12950.8</v>
      </c>
      <c r="K377" s="68">
        <f>'[34]Flujo de Vencimiento'!K$19</f>
        <v>703.92</v>
      </c>
      <c r="L377" s="67">
        <f>'[34]Flujo de Vencimiento'!L$19</f>
        <v>12997.65</v>
      </c>
      <c r="M377" s="68">
        <f>'[34]Flujo de Vencimiento'!M$19</f>
        <v>662.32</v>
      </c>
      <c r="N377" s="73">
        <f t="shared" si="146"/>
        <v>77285.67</v>
      </c>
      <c r="O377" s="74">
        <f t="shared" si="147"/>
        <v>4277.34</v>
      </c>
      <c r="P377" s="67">
        <f>'[34]Flujo de Vencimiento'!N$19</f>
        <v>13044.81</v>
      </c>
      <c r="Q377" s="68">
        <f>'[34]Flujo de Vencimiento'!O$19</f>
        <v>664.72</v>
      </c>
      <c r="R377" s="67">
        <f>'[34]Flujo de Vencimiento'!P$19</f>
        <v>13092</v>
      </c>
      <c r="S377" s="68">
        <f>'[34]Flujo de Vencimiento'!Q$19</f>
        <v>644.9300000000001</v>
      </c>
      <c r="T377" s="67">
        <f>'[34]Flujo de Vencimiento'!R$19</f>
        <v>13139.5</v>
      </c>
      <c r="U377" s="68">
        <f>'[34]Flujo de Vencimiento'!S$19</f>
        <v>604.76</v>
      </c>
      <c r="V377" s="67">
        <f>'[34]Flujo de Vencimiento'!T$19</f>
        <v>13187.039999999999</v>
      </c>
      <c r="W377" s="68">
        <f>'[34]Flujo de Vencimiento'!U$19</f>
        <v>604.83</v>
      </c>
      <c r="X377" s="67">
        <f>'[34]Flujo de Vencimiento'!V$19</f>
        <v>13234.88</v>
      </c>
      <c r="Y377" s="68">
        <f>'[34]Flujo de Vencimiento'!W$19</f>
        <v>565.6899999999999</v>
      </c>
      <c r="Z377" s="67">
        <f>'[34]Flujo de Vencimiento'!X$19</f>
        <v>13282.76</v>
      </c>
      <c r="AA377" s="68">
        <f>'[34]Flujo de Vencimiento'!Y$19</f>
        <v>564.03</v>
      </c>
      <c r="AB377" s="73">
        <f t="shared" si="149"/>
        <v>156266.66</v>
      </c>
      <c r="AC377" s="74">
        <f t="shared" si="150"/>
        <v>7926.3</v>
      </c>
    </row>
    <row r="378" spans="1:29" ht="12.75">
      <c r="A378" s="34" t="s">
        <v>13</v>
      </c>
      <c r="B378" s="67">
        <f>'[32]Flujo de Vencimientos'!B$19</f>
        <v>47351.74</v>
      </c>
      <c r="C378" s="68">
        <f>'[32]Flujo de Vencimientos'!C$19</f>
        <v>2895.58</v>
      </c>
      <c r="D378" s="67">
        <f>'[32]Flujo de Vencimientos'!D$19</f>
        <v>47523.37</v>
      </c>
      <c r="E378" s="68">
        <f>'[32]Flujo de Vencimientos'!E$19</f>
        <v>2551.93</v>
      </c>
      <c r="F378" s="67">
        <f>'[32]Flujo de Vencimientos'!F$19</f>
        <v>47695.48</v>
      </c>
      <c r="G378" s="68">
        <f>'[32]Flujo de Vencimientos'!G$19</f>
        <v>2754.54</v>
      </c>
      <c r="H378" s="67">
        <f>'[32]Flujo de Vencimientos'!H$19</f>
        <v>47868.350000000006</v>
      </c>
      <c r="I378" s="68">
        <f>'[32]Flujo de Vencimientos'!I$19</f>
        <v>2596.69</v>
      </c>
      <c r="J378" s="67">
        <f>'[32]Flujo de Vencimientos'!J$19</f>
        <v>48041.7</v>
      </c>
      <c r="K378" s="68">
        <f>'[32]Flujo de Vencimientos'!K$19</f>
        <v>2611.38</v>
      </c>
      <c r="L378" s="67">
        <f>'[32]Flujo de Vencimientos'!L$19</f>
        <v>48215.83</v>
      </c>
      <c r="M378" s="68">
        <f>'[32]Flujo de Vencimientos'!M$19</f>
        <v>2457.02</v>
      </c>
      <c r="N378" s="73">
        <f t="shared" si="146"/>
        <v>286696.47000000003</v>
      </c>
      <c r="O378" s="74">
        <f t="shared" si="147"/>
        <v>15867.14</v>
      </c>
      <c r="P378" s="67">
        <f>'[32]Flujo de Vencimientos'!N$19</f>
        <v>48390.44</v>
      </c>
      <c r="Q378" s="68">
        <f>'[32]Flujo de Vencimientos'!O$19</f>
        <v>2465.92</v>
      </c>
      <c r="R378" s="67">
        <f>'[32]Flujo de Vencimientos'!P$19</f>
        <v>48565.83</v>
      </c>
      <c r="S378" s="68">
        <f>'[32]Flujo de Vencimientos'!Q$19</f>
        <v>2392.3900000000003</v>
      </c>
      <c r="T378" s="67">
        <f>'[32]Flujo de Vencimientos'!R$19</f>
        <v>48741.72</v>
      </c>
      <c r="U378" s="68">
        <f>'[32]Flujo de Vencimientos'!S$19</f>
        <v>2243.49</v>
      </c>
      <c r="V378" s="67">
        <f>'[32]Flujo de Vencimientos'!T$19</f>
        <v>48918.380000000005</v>
      </c>
      <c r="W378" s="68">
        <f>'[32]Flujo de Vencimientos'!U$19</f>
        <v>2243.55</v>
      </c>
      <c r="X378" s="67">
        <f>'[32]Flujo de Vencimientos'!V$19</f>
        <v>49095.54</v>
      </c>
      <c r="Y378" s="68">
        <f>'[32]Flujo de Vencimientos'!W$19</f>
        <v>2098.3599999999997</v>
      </c>
      <c r="Z378" s="67">
        <f>'[32]Flujo de Vencimientos'!X$19</f>
        <v>49273.48</v>
      </c>
      <c r="AA378" s="68">
        <f>'[32]Flujo de Vencimientos'!Y$19</f>
        <v>2092.42</v>
      </c>
      <c r="AB378" s="73">
        <f t="shared" si="149"/>
        <v>579681.8600000001</v>
      </c>
      <c r="AC378" s="74">
        <f t="shared" si="150"/>
        <v>29403.269999999997</v>
      </c>
    </row>
    <row r="379" spans="1:29" ht="12.75">
      <c r="A379" s="34" t="s">
        <v>84</v>
      </c>
      <c r="B379" s="67">
        <f>'[18]Flujo Vencimientos'!B$19</f>
        <v>44173.71</v>
      </c>
      <c r="C379" s="68">
        <f>'[18]Flujo Vencimientos'!C$19</f>
        <v>2701.27</v>
      </c>
      <c r="D379" s="67">
        <f>'[18]Flujo Vencimientos'!D$19</f>
        <v>44333.75</v>
      </c>
      <c r="E379" s="68">
        <f>'[18]Flujo Vencimientos'!E$19</f>
        <v>2380.63</v>
      </c>
      <c r="F379" s="67">
        <f>'[18]Flujo Vencimientos'!F$19</f>
        <v>44494.369999999995</v>
      </c>
      <c r="G379" s="68">
        <f>'[18]Flujo Vencimientos'!G$19</f>
        <v>2569.7299999999996</v>
      </c>
      <c r="H379" s="67">
        <f>'[18]Flujo Vencimientos'!H$19</f>
        <v>44655.58</v>
      </c>
      <c r="I379" s="68">
        <f>'[18]Flujo Vencimientos'!I$19</f>
        <v>2422.42</v>
      </c>
      <c r="J379" s="67">
        <f>'[18]Flujo Vencimientos'!J$19</f>
        <v>44817.36</v>
      </c>
      <c r="K379" s="68">
        <f>'[18]Flujo Vencimientos'!K$19</f>
        <v>2436.13</v>
      </c>
      <c r="L379" s="67">
        <f>'[18]Flujo Vencimientos'!L$19</f>
        <v>44979.74</v>
      </c>
      <c r="M379" s="68">
        <f>'[18]Flujo Vencimientos'!M$19</f>
        <v>2292.09</v>
      </c>
      <c r="N379" s="83">
        <f t="shared" si="146"/>
        <v>267454.50999999995</v>
      </c>
      <c r="O379" s="74">
        <f t="shared" si="147"/>
        <v>14802.27</v>
      </c>
      <c r="P379" s="67">
        <f>'[18]Flujo Vencimientos'!N$19</f>
        <v>45142.7</v>
      </c>
      <c r="Q379" s="68">
        <f>'[18]Flujo Vencimientos'!O$19</f>
        <v>2300.39</v>
      </c>
      <c r="R379" s="67">
        <f>'[18]Flujo Vencimientos'!P$19</f>
        <v>45306.25</v>
      </c>
      <c r="S379" s="68">
        <f>'[18]Flujo Vencimientos'!Q$19</f>
        <v>2231.7999999999997</v>
      </c>
      <c r="T379" s="67">
        <f>'[18]Flujo Vencimientos'!R$19</f>
        <v>45470.39</v>
      </c>
      <c r="U379" s="68">
        <f>'[18]Flujo Vencimientos'!S$19</f>
        <v>2092.9</v>
      </c>
      <c r="V379" s="67">
        <f>'[18]Flujo Vencimientos'!T$19</f>
        <v>45635.13</v>
      </c>
      <c r="W379" s="68">
        <f>'[18]Flujo Vencimientos'!U$19</f>
        <v>2092.98</v>
      </c>
      <c r="X379" s="67">
        <f>'[18]Flujo Vencimientos'!V$19</f>
        <v>45800.47</v>
      </c>
      <c r="Y379" s="68">
        <f>'[18]Flujo Vencimientos'!W$19</f>
        <v>1957.4699999999998</v>
      </c>
      <c r="Z379" s="67">
        <f>'[18]Flujo Vencimientos'!X$19</f>
        <v>45966.4</v>
      </c>
      <c r="AA379" s="68">
        <f>'[18]Flujo Vencimientos'!Y$19</f>
        <v>1952.02</v>
      </c>
      <c r="AB379" s="73">
        <f t="shared" si="149"/>
        <v>540775.85</v>
      </c>
      <c r="AC379" s="74">
        <f t="shared" si="150"/>
        <v>27429.83</v>
      </c>
    </row>
    <row r="380" spans="1:29" ht="12.75">
      <c r="A380" s="34" t="s">
        <v>105</v>
      </c>
      <c r="B380" s="67">
        <f>'[11]Flujo Vencimientos'!B$19</f>
        <v>70645.81</v>
      </c>
      <c r="C380" s="68">
        <f>'[11]Flujo Vencimientos'!C$19</f>
        <v>4320.05</v>
      </c>
      <c r="D380" s="67">
        <f>'[11]Flujo Vencimientos'!D$19</f>
        <v>70901.76</v>
      </c>
      <c r="E380" s="68">
        <f>'[11]Flujo Vencimientos'!E$19</f>
        <v>3807.3</v>
      </c>
      <c r="F380" s="67">
        <f>'[11]Flujo Vencimientos'!F$19</f>
        <v>71158.64</v>
      </c>
      <c r="G380" s="68">
        <f>'[11]Flujo Vencimientos'!G$19</f>
        <v>4109.67</v>
      </c>
      <c r="H380" s="67">
        <f>'[11]Flujo Vencimientos'!H$19</f>
        <v>71416.45</v>
      </c>
      <c r="I380" s="68">
        <f>'[11]Flujo Vencimientos'!I$19</f>
        <v>3874.13</v>
      </c>
      <c r="J380" s="67">
        <f>'[11]Flujo Vencimientos'!J$19</f>
        <v>71675.19</v>
      </c>
      <c r="K380" s="68">
        <f>'[11]Flujo Vencimientos'!K$19</f>
        <v>3896.02</v>
      </c>
      <c r="L380" s="67">
        <f>'[11]Flujo Vencimientos'!L$19</f>
        <v>71934.87</v>
      </c>
      <c r="M380" s="68">
        <f>'[11]Flujo Vencimientos'!M$19</f>
        <v>3665.69</v>
      </c>
      <c r="N380" s="73">
        <f t="shared" si="146"/>
        <v>427732.72000000003</v>
      </c>
      <c r="O380" s="84">
        <f t="shared" si="147"/>
        <v>23672.86</v>
      </c>
      <c r="P380" s="67">
        <f>'[11]Flujo Vencimientos'!N$19</f>
        <v>72195.49</v>
      </c>
      <c r="Q380" s="68">
        <f>'[11]Flujo Vencimientos'!O$19</f>
        <v>3678.97</v>
      </c>
      <c r="R380" s="67">
        <f>'[11]Flujo Vencimientos'!P$19</f>
        <v>72457.05</v>
      </c>
      <c r="S380" s="68">
        <f>'[11]Flujo Vencimientos'!Q$19</f>
        <v>3569.23</v>
      </c>
      <c r="T380" s="67">
        <f>'[11]Flujo Vencimientos'!R$19</f>
        <v>72719.57</v>
      </c>
      <c r="U380" s="68">
        <f>'[11]Flujo Vencimientos'!S$19</f>
        <v>3347.1099999999997</v>
      </c>
      <c r="V380" s="67">
        <f>'[11]Flujo Vencimientos'!T$19</f>
        <v>72983.03</v>
      </c>
      <c r="W380" s="68">
        <f>'[11]Flujo Vencimientos'!U$19</f>
        <v>3347.21</v>
      </c>
      <c r="X380" s="67">
        <f>'[11]Flujo Vencimientos'!V$19</f>
        <v>73247.45</v>
      </c>
      <c r="Y380" s="68">
        <f>'[11]Flujo Vencimientos'!W$19</f>
        <v>3130.6</v>
      </c>
      <c r="Z380" s="67">
        <f>'[11]Flujo Vencimientos'!X$19</f>
        <v>73512.75</v>
      </c>
      <c r="AA380" s="68">
        <f>'[11]Flujo Vencimientos'!Y$19</f>
        <v>3121.78</v>
      </c>
      <c r="AB380" s="73">
        <f t="shared" si="149"/>
        <v>864848.06</v>
      </c>
      <c r="AC380" s="74">
        <f t="shared" si="150"/>
        <v>43867.759999999995</v>
      </c>
    </row>
    <row r="381" spans="1:29" ht="12.75">
      <c r="A381" s="34" t="s">
        <v>4</v>
      </c>
      <c r="B381" s="67">
        <f>'[9]Flujo de Vencimientos'!B$19</f>
        <v>52970.23</v>
      </c>
      <c r="C381" s="68">
        <f>'[9]Flujo de Vencimientos'!C$19</f>
        <v>3239.2000000000003</v>
      </c>
      <c r="D381" s="67">
        <f>'[9]Flujo de Vencimientos'!D$19</f>
        <v>53162.21</v>
      </c>
      <c r="E381" s="68">
        <f>'[9]Flujo de Vencimientos'!E$19</f>
        <v>2854.7200000000003</v>
      </c>
      <c r="F381" s="67">
        <f>'[9]Flujo de Vencimientos'!F$19</f>
        <v>53354.75</v>
      </c>
      <c r="G381" s="68">
        <f>'[9]Flujo de Vencimientos'!G$19</f>
        <v>3081.41</v>
      </c>
      <c r="H381" s="67">
        <f>'[9]Flujo de Vencimientos'!H$19</f>
        <v>53548.13</v>
      </c>
      <c r="I381" s="68">
        <f>'[9]Flujo de Vencimientos'!I$19</f>
        <v>2904.8</v>
      </c>
      <c r="J381" s="67">
        <f>'[9]Flujo de Vencimientos'!J$19</f>
        <v>53742.060000000005</v>
      </c>
      <c r="K381" s="68">
        <f>'[9]Flujo de Vencimientos'!K$19</f>
        <v>2921.23</v>
      </c>
      <c r="L381" s="67">
        <f>'[9]Flujo de Vencimientos'!L$19</f>
        <v>53936.84</v>
      </c>
      <c r="M381" s="68">
        <f>'[9]Flujo de Vencimientos'!M$19</f>
        <v>2748.54</v>
      </c>
      <c r="N381" s="73">
        <f t="shared" si="146"/>
        <v>320714.22</v>
      </c>
      <c r="O381" s="84">
        <f t="shared" si="147"/>
        <v>17749.9</v>
      </c>
      <c r="P381" s="67">
        <f>'[9]Flujo de Vencimientos'!N$19</f>
        <v>54132.18</v>
      </c>
      <c r="Q381" s="68">
        <f>'[9]Flujo de Vencimientos'!O$19</f>
        <v>2758.4900000000002</v>
      </c>
      <c r="R381" s="67">
        <f>'[9]Flujo de Vencimientos'!P$19</f>
        <v>54328.369999999995</v>
      </c>
      <c r="S381" s="68">
        <f>'[9]Flujo de Vencimientos'!Q$19</f>
        <v>2676.26</v>
      </c>
      <c r="T381" s="67">
        <f>'[9]Flujo de Vencimientos'!R$19</f>
        <v>54525.130000000005</v>
      </c>
      <c r="U381" s="68">
        <f>'[9]Flujo de Vencimientos'!S$19</f>
        <v>2509.63</v>
      </c>
      <c r="V381" s="67">
        <f>'[9]Flujo de Vencimientos'!T$19</f>
        <v>54722.75</v>
      </c>
      <c r="W381" s="68">
        <f>'[9]Flujo de Vencimientos'!U$19</f>
        <v>2509.73</v>
      </c>
      <c r="X381" s="67">
        <f>'[9]Flujo de Vencimientos'!V$19</f>
        <v>54920.94</v>
      </c>
      <c r="Y381" s="68">
        <f>'[9]Flujo de Vencimientos'!W$19</f>
        <v>2347.33</v>
      </c>
      <c r="Z381" s="67">
        <f>'[9]Flujo de Vencimientos'!X$19</f>
        <v>55119.99</v>
      </c>
      <c r="AA381" s="68">
        <f>'[9]Flujo de Vencimientos'!Y$19</f>
        <v>2340.73</v>
      </c>
      <c r="AB381" s="73">
        <f t="shared" si="149"/>
        <v>648463.5799999998</v>
      </c>
      <c r="AC381" s="74">
        <f t="shared" si="150"/>
        <v>32892.07000000001</v>
      </c>
    </row>
    <row r="382" spans="1:29" ht="12.75">
      <c r="A382" s="34" t="s">
        <v>10</v>
      </c>
      <c r="B382" s="67">
        <f>'[7]Flujo vencimientos'!B$19</f>
        <v>16136.18</v>
      </c>
      <c r="C382" s="68">
        <f>'[7]Flujo vencimientos'!C$19</f>
        <v>986.74</v>
      </c>
      <c r="D382" s="67">
        <f>'[7]Flujo vencimientos'!D$19</f>
        <v>16194.580000000002</v>
      </c>
      <c r="E382" s="68">
        <f>'[7]Flujo vencimientos'!E$19</f>
        <v>869.61</v>
      </c>
      <c r="F382" s="67">
        <f>'[7]Flujo vencimientos'!F$19</f>
        <v>16253.319999999998</v>
      </c>
      <c r="G382" s="68">
        <f>'[7]Flujo vencimientos'!G$19</f>
        <v>938.72</v>
      </c>
      <c r="H382" s="67">
        <f>'[7]Flujo vencimientos'!H$19</f>
        <v>16312.14</v>
      </c>
      <c r="I382" s="68">
        <f>'[7]Flujo vencimientos'!I$19</f>
        <v>884.8599999999999</v>
      </c>
      <c r="J382" s="67">
        <f>'[7]Flujo vencimientos'!J$19</f>
        <v>16371.299999999997</v>
      </c>
      <c r="K382" s="68">
        <f>'[7]Flujo vencimientos'!K$19</f>
        <v>889.8699999999999</v>
      </c>
      <c r="L382" s="67">
        <f>'[7]Flujo vencimientos'!L$19</f>
        <v>16430.55</v>
      </c>
      <c r="M382" s="68">
        <f>'[7]Flujo vencimientos'!M$19</f>
        <v>837.3</v>
      </c>
      <c r="N382" s="73">
        <f t="shared" si="146"/>
        <v>97698.07</v>
      </c>
      <c r="O382" s="84">
        <f t="shared" si="147"/>
        <v>5407.099999999999</v>
      </c>
      <c r="P382" s="67">
        <f>'[7]Flujo vencimientos'!N$19</f>
        <v>16490.15</v>
      </c>
      <c r="Q382" s="68">
        <f>'[7]Flujo vencimientos'!O$19</f>
        <v>840.3399999999999</v>
      </c>
      <c r="R382" s="67">
        <f>'[7]Flujo vencimientos'!P$19</f>
        <v>16549.82</v>
      </c>
      <c r="S382" s="68">
        <f>'[7]Flujo vencimientos'!Q$19</f>
        <v>815.28</v>
      </c>
      <c r="T382" s="67">
        <f>'[7]Flujo vencimientos'!R$19</f>
        <v>16609.85</v>
      </c>
      <c r="U382" s="68">
        <f>'[7]Flujo vencimientos'!S$19</f>
        <v>764.51</v>
      </c>
      <c r="V382" s="67">
        <f>'[7]Flujo vencimientos'!T$19</f>
        <v>16669.96</v>
      </c>
      <c r="W382" s="68">
        <f>'[7]Flujo vencimientos'!U$19</f>
        <v>764.52</v>
      </c>
      <c r="X382" s="67">
        <f>'[7]Flujo vencimientos'!V$19</f>
        <v>16730.420000000002</v>
      </c>
      <c r="Y382" s="68">
        <f>'[7]Flujo vencimientos'!W$19</f>
        <v>715.03</v>
      </c>
      <c r="Z382" s="67">
        <f>'[7]Flujo vencimientos'!X$19</f>
        <v>16790.97</v>
      </c>
      <c r="AA382" s="68">
        <f>'[7]Flujo vencimientos'!Y$19</f>
        <v>713.06</v>
      </c>
      <c r="AB382" s="73">
        <f t="shared" si="149"/>
        <v>197539.24000000002</v>
      </c>
      <c r="AC382" s="74">
        <f t="shared" si="150"/>
        <v>10019.84</v>
      </c>
    </row>
    <row r="383" spans="1:29" ht="13.5" thickBot="1">
      <c r="A383" s="34" t="s">
        <v>11</v>
      </c>
      <c r="B383" s="67">
        <f>'[3]Flujo Vencimientos'!B$19</f>
        <v>196918.68</v>
      </c>
      <c r="C383" s="68">
        <f>'[3]Flujo Vencimientos'!C$19</f>
        <v>12041.68</v>
      </c>
      <c r="D383" s="67">
        <f>'[3]Flujo Vencimientos'!D$19</f>
        <v>197632.05</v>
      </c>
      <c r="E383" s="68">
        <f>'[3]Flujo Vencimientos'!E$19</f>
        <v>10612.58</v>
      </c>
      <c r="F383" s="67">
        <f>'[3]Flujo Vencimientos'!F$19</f>
        <v>198348.14</v>
      </c>
      <c r="G383" s="68">
        <f>'[3]Flujo Vencimientos'!G$19</f>
        <v>11455.289999999999</v>
      </c>
      <c r="H383" s="67">
        <f>'[3]Flujo Vencimientos'!H$19</f>
        <v>199066.69</v>
      </c>
      <c r="I383" s="68">
        <f>'[3]Flujo Vencimientos'!I$19</f>
        <v>10798.66</v>
      </c>
      <c r="J383" s="67">
        <f>'[3]Flujo Vencimientos'!J$19</f>
        <v>199787.97</v>
      </c>
      <c r="K383" s="68">
        <f>'[3]Flujo Vencimientos'!K$19</f>
        <v>10859.679999999998</v>
      </c>
      <c r="L383" s="67">
        <f>'[3]Flujo Vencimientos'!L$19</f>
        <v>200511.74</v>
      </c>
      <c r="M383" s="68">
        <f>'[3]Flujo Vencimientos'!M$19</f>
        <v>10217.869999999999</v>
      </c>
      <c r="N383" s="73">
        <f t="shared" si="146"/>
        <v>1192265.27</v>
      </c>
      <c r="O383" s="84">
        <f t="shared" si="147"/>
        <v>65985.76000000001</v>
      </c>
      <c r="P383" s="67">
        <f>'[3]Flujo Vencimientos'!N$19</f>
        <v>201238.26</v>
      </c>
      <c r="Q383" s="68">
        <f>'[3]Flujo Vencimientos'!O$19</f>
        <v>10254.89</v>
      </c>
      <c r="R383" s="67">
        <f>'[3]Flujo Vencimientos'!P$19</f>
        <v>201967.28</v>
      </c>
      <c r="S383" s="68">
        <f>'[3]Flujo Vencimientos'!Q$19</f>
        <v>9948.96</v>
      </c>
      <c r="T383" s="67">
        <f>'[3]Flujo Vencimientos'!R$19</f>
        <v>202699.07</v>
      </c>
      <c r="U383" s="68">
        <f>'[3]Flujo Vencimientos'!S$19</f>
        <v>9329.69</v>
      </c>
      <c r="V383" s="67">
        <f>'[3]Flujo Vencimientos'!T$19</f>
        <v>203433.38</v>
      </c>
      <c r="W383" s="68">
        <f>'[3]Flujo Vencimientos'!U$19</f>
        <v>9330.099999999999</v>
      </c>
      <c r="X383" s="67">
        <f>'[3]Flujo Vencimientos'!V$19</f>
        <v>204170.49</v>
      </c>
      <c r="Y383" s="68">
        <f>'[3]Flujo Vencimientos'!W$19</f>
        <v>8726.210000000001</v>
      </c>
      <c r="Z383" s="67">
        <f>'[3]Flujo Vencimientos'!X$19</f>
        <v>204910.13</v>
      </c>
      <c r="AA383" s="68">
        <f>'[3]Flujo Vencimientos'!Y$19</f>
        <v>8701.66</v>
      </c>
      <c r="AB383" s="73">
        <f t="shared" si="149"/>
        <v>2410683.88</v>
      </c>
      <c r="AC383" s="74">
        <f t="shared" si="150"/>
        <v>122277.27000000003</v>
      </c>
    </row>
    <row r="384" spans="1:29" s="42" customFormat="1" ht="12.75" thickBot="1">
      <c r="A384" s="43" t="s">
        <v>120</v>
      </c>
      <c r="B384" s="71">
        <f aca="true" t="shared" si="151" ref="B384:M384">B371</f>
        <v>914100.4400000002</v>
      </c>
      <c r="C384" s="72">
        <f t="shared" si="151"/>
        <v>55897.88</v>
      </c>
      <c r="D384" s="71">
        <f t="shared" si="151"/>
        <v>917412.0499999998</v>
      </c>
      <c r="E384" s="72">
        <f t="shared" si="151"/>
        <v>49263.69</v>
      </c>
      <c r="F384" s="71">
        <f t="shared" si="151"/>
        <v>920736.04</v>
      </c>
      <c r="G384" s="72">
        <f t="shared" si="151"/>
        <v>53175.74</v>
      </c>
      <c r="H384" s="71">
        <f t="shared" si="151"/>
        <v>924071.69</v>
      </c>
      <c r="I384" s="72">
        <f t="shared" si="151"/>
        <v>50127.69</v>
      </c>
      <c r="J384" s="71">
        <f t="shared" si="151"/>
        <v>927419.76</v>
      </c>
      <c r="K384" s="72">
        <f t="shared" si="151"/>
        <v>50410.98</v>
      </c>
      <c r="L384" s="71">
        <f t="shared" si="151"/>
        <v>930779.63</v>
      </c>
      <c r="M384" s="72">
        <f t="shared" si="151"/>
        <v>47431.39</v>
      </c>
      <c r="N384" s="597">
        <f t="shared" si="146"/>
        <v>5534519.61</v>
      </c>
      <c r="O384" s="598">
        <f t="shared" si="147"/>
        <v>306307.37</v>
      </c>
      <c r="P384" s="71">
        <f>P371</f>
        <v>934152.05</v>
      </c>
      <c r="Q384" s="72">
        <f>Q371</f>
        <v>47603.219999999994</v>
      </c>
      <c r="R384" s="71">
        <f>R371</f>
        <v>937536.25</v>
      </c>
      <c r="S384" s="72">
        <f aca="true" t="shared" si="152" ref="S384:AA384">S371</f>
        <v>46183.35</v>
      </c>
      <c r="T384" s="71">
        <f t="shared" si="152"/>
        <v>940933.1500000001</v>
      </c>
      <c r="U384" s="72">
        <f t="shared" si="152"/>
        <v>43308.61</v>
      </c>
      <c r="V384" s="71">
        <f t="shared" si="152"/>
        <v>944341.8699999999</v>
      </c>
      <c r="W384" s="72">
        <f t="shared" si="152"/>
        <v>43310.35</v>
      </c>
      <c r="X384" s="71">
        <f t="shared" si="152"/>
        <v>947763.5099999999</v>
      </c>
      <c r="Y384" s="72">
        <f t="shared" si="152"/>
        <v>40507.25</v>
      </c>
      <c r="Z384" s="71">
        <f t="shared" si="152"/>
        <v>951196.9</v>
      </c>
      <c r="AA384" s="72">
        <f t="shared" si="152"/>
        <v>40393.299999999996</v>
      </c>
      <c r="AB384" s="597">
        <f t="shared" si="149"/>
        <v>11190443.34</v>
      </c>
      <c r="AC384" s="598">
        <f t="shared" si="150"/>
        <v>567613.45</v>
      </c>
    </row>
    <row r="385" spans="1:29" ht="13.5" thickBot="1">
      <c r="A385" s="42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1"/>
      <c r="AC385" s="42"/>
    </row>
    <row r="386" spans="1:29" s="42" customFormat="1" ht="12.75" thickBot="1">
      <c r="A386" s="12" t="s">
        <v>94</v>
      </c>
      <c r="B386" s="39"/>
      <c r="C386" s="39"/>
      <c r="D386" s="39"/>
      <c r="E386" s="39"/>
      <c r="F386" s="39"/>
      <c r="G386" s="39"/>
      <c r="H386" s="78" t="s">
        <v>132</v>
      </c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78" t="str">
        <f>H386</f>
        <v>EN PESOS</v>
      </c>
      <c r="W386" s="39"/>
      <c r="X386" s="39"/>
      <c r="Y386" s="39"/>
      <c r="Z386" s="39"/>
      <c r="AA386" s="39"/>
      <c r="AB386" s="39"/>
      <c r="AC386" s="38"/>
    </row>
    <row r="387" spans="1:29" ht="12.75" hidden="1">
      <c r="A387" s="33" t="s">
        <v>129</v>
      </c>
      <c r="B387" s="32">
        <f aca="true" t="shared" si="153" ref="B387:M387">SUM(B388:B388)</f>
        <v>0</v>
      </c>
      <c r="C387" s="31">
        <f t="shared" si="153"/>
        <v>0</v>
      </c>
      <c r="D387" s="32">
        <f t="shared" si="153"/>
        <v>0</v>
      </c>
      <c r="E387" s="31">
        <f t="shared" si="153"/>
        <v>0</v>
      </c>
      <c r="F387" s="32">
        <f t="shared" si="153"/>
        <v>0</v>
      </c>
      <c r="G387" s="31">
        <f t="shared" si="153"/>
        <v>0</v>
      </c>
      <c r="H387" s="32">
        <f t="shared" si="153"/>
        <v>0</v>
      </c>
      <c r="I387" s="31">
        <f t="shared" si="153"/>
        <v>0</v>
      </c>
      <c r="J387" s="32">
        <f t="shared" si="153"/>
        <v>0</v>
      </c>
      <c r="K387" s="31">
        <f t="shared" si="153"/>
        <v>0</v>
      </c>
      <c r="L387" s="32">
        <f t="shared" si="153"/>
        <v>0</v>
      </c>
      <c r="M387" s="31">
        <f t="shared" si="153"/>
        <v>0</v>
      </c>
      <c r="N387" s="32">
        <f>B387+D387+F387+H387+J387+L387</f>
        <v>0</v>
      </c>
      <c r="O387" s="31">
        <f>C387+E387+G387+I387+K387+M387</f>
        <v>0</v>
      </c>
      <c r="P387" s="32">
        <f aca="true" t="shared" si="154" ref="P387:AA387">SUM(P388:P388)</f>
        <v>0</v>
      </c>
      <c r="Q387" s="31">
        <f t="shared" si="154"/>
        <v>0</v>
      </c>
      <c r="R387" s="32">
        <f t="shared" si="154"/>
        <v>0</v>
      </c>
      <c r="S387" s="31">
        <f t="shared" si="154"/>
        <v>0</v>
      </c>
      <c r="T387" s="32">
        <f t="shared" si="154"/>
        <v>0</v>
      </c>
      <c r="U387" s="31">
        <f t="shared" si="154"/>
        <v>0</v>
      </c>
      <c r="V387" s="32">
        <f t="shared" si="154"/>
        <v>0</v>
      </c>
      <c r="W387" s="31">
        <f t="shared" si="154"/>
        <v>0</v>
      </c>
      <c r="X387" s="32">
        <f t="shared" si="154"/>
        <v>0</v>
      </c>
      <c r="Y387" s="31">
        <f t="shared" si="154"/>
        <v>0</v>
      </c>
      <c r="Z387" s="32">
        <f t="shared" si="154"/>
        <v>0</v>
      </c>
      <c r="AA387" s="31">
        <f t="shared" si="154"/>
        <v>0</v>
      </c>
      <c r="AB387" s="32">
        <f aca="true" t="shared" si="155" ref="AB387:AB396">+N387+P387+R387+T387+V387+X387+Z387</f>
        <v>0</v>
      </c>
      <c r="AC387" s="31">
        <f aca="true" t="shared" si="156" ref="AC387:AC396">O387+Q387+S387+U387+W387+Y387+AA387</f>
        <v>0</v>
      </c>
    </row>
    <row r="388" spans="1:29" ht="12.75" hidden="1">
      <c r="A388" s="34" t="s">
        <v>21</v>
      </c>
      <c r="B388" s="81"/>
      <c r="C388" s="82"/>
      <c r="D388" s="81"/>
      <c r="E388" s="82"/>
      <c r="F388" s="81"/>
      <c r="G388" s="82"/>
      <c r="H388" s="81"/>
      <c r="I388" s="82"/>
      <c r="J388" s="81"/>
      <c r="K388" s="82"/>
      <c r="L388" s="81"/>
      <c r="M388" s="82"/>
      <c r="N388" s="51">
        <f>B388+D388+F388+H388+J388+L388</f>
        <v>0</v>
      </c>
      <c r="O388" s="50">
        <f>C388+E388+G388+I388+K388+M388</f>
        <v>0</v>
      </c>
      <c r="P388" s="81"/>
      <c r="Q388" s="82"/>
      <c r="R388" s="81"/>
      <c r="S388" s="82"/>
      <c r="T388" s="81"/>
      <c r="U388" s="82"/>
      <c r="V388" s="81"/>
      <c r="W388" s="82"/>
      <c r="X388" s="81"/>
      <c r="Y388" s="82"/>
      <c r="Z388" s="81"/>
      <c r="AA388" s="82"/>
      <c r="AB388" s="51">
        <f t="shared" si="155"/>
        <v>0</v>
      </c>
      <c r="AC388" s="50">
        <f t="shared" si="156"/>
        <v>0</v>
      </c>
    </row>
    <row r="389" spans="1:29" ht="12.75">
      <c r="A389" s="134" t="s">
        <v>130</v>
      </c>
      <c r="B389" s="32">
        <f aca="true" t="shared" si="157" ref="B389:AC389">SUM(B390:B392)</f>
        <v>50262.6</v>
      </c>
      <c r="C389" s="31">
        <f t="shared" si="157"/>
        <v>42382.55</v>
      </c>
      <c r="D389" s="32">
        <f t="shared" si="157"/>
        <v>50262.6</v>
      </c>
      <c r="E389" s="31">
        <f t="shared" si="157"/>
        <v>38049.67</v>
      </c>
      <c r="F389" s="32">
        <f t="shared" si="157"/>
        <v>50262.6</v>
      </c>
      <c r="G389" s="31">
        <f t="shared" si="157"/>
        <v>41870.29</v>
      </c>
      <c r="H389" s="32">
        <f t="shared" si="157"/>
        <v>50262.6</v>
      </c>
      <c r="I389" s="31">
        <f t="shared" si="157"/>
        <v>40271.76</v>
      </c>
      <c r="J389" s="32">
        <f t="shared" si="157"/>
        <v>50262.6</v>
      </c>
      <c r="K389" s="31">
        <f t="shared" si="157"/>
        <v>41358.02</v>
      </c>
      <c r="L389" s="32">
        <f t="shared" si="157"/>
        <v>50262.6</v>
      </c>
      <c r="M389" s="31">
        <f t="shared" si="157"/>
        <v>39776.02</v>
      </c>
      <c r="N389" s="32">
        <f t="shared" si="157"/>
        <v>301575.6</v>
      </c>
      <c r="O389" s="31">
        <f t="shared" si="157"/>
        <v>243708.31</v>
      </c>
      <c r="P389" s="32">
        <f t="shared" si="157"/>
        <v>50262.6</v>
      </c>
      <c r="Q389" s="31">
        <f t="shared" si="157"/>
        <v>40845.76</v>
      </c>
      <c r="R389" s="32">
        <f t="shared" si="157"/>
        <v>50262.6</v>
      </c>
      <c r="S389" s="31">
        <f t="shared" si="157"/>
        <v>40589.63</v>
      </c>
      <c r="T389" s="32">
        <f t="shared" si="157"/>
        <v>50262.6</v>
      </c>
      <c r="U389" s="31">
        <f t="shared" si="157"/>
        <v>39032.41</v>
      </c>
      <c r="V389" s="32">
        <f t="shared" si="157"/>
        <v>50262.6</v>
      </c>
      <c r="W389" s="31">
        <f t="shared" si="157"/>
        <v>40077.36</v>
      </c>
      <c r="X389" s="32">
        <f t="shared" si="157"/>
        <v>50262.6</v>
      </c>
      <c r="Y389" s="31">
        <f t="shared" si="157"/>
        <v>38536.67</v>
      </c>
      <c r="Z389" s="32">
        <f t="shared" si="157"/>
        <v>50262.6</v>
      </c>
      <c r="AA389" s="31">
        <f t="shared" si="157"/>
        <v>39565.09</v>
      </c>
      <c r="AB389" s="32">
        <f t="shared" si="157"/>
        <v>603151.1999999998</v>
      </c>
      <c r="AC389" s="31">
        <f t="shared" si="157"/>
        <v>482355.23</v>
      </c>
    </row>
    <row r="390" spans="1:29" ht="13.5" thickBot="1">
      <c r="A390" s="5" t="s">
        <v>22</v>
      </c>
      <c r="B390" s="545">
        <f>'[68]Flujo vencimientos'!B$19</f>
        <v>50262.6</v>
      </c>
      <c r="C390" s="546">
        <f>'[68]Flujo vencimientos'!C$19</f>
        <v>42382.55</v>
      </c>
      <c r="D390" s="545">
        <f>'[68]Flujo vencimientos'!D$19</f>
        <v>50262.6</v>
      </c>
      <c r="E390" s="546">
        <f>'[68]Flujo vencimientos'!E$19</f>
        <v>38049.67</v>
      </c>
      <c r="F390" s="545">
        <f>'[68]Flujo vencimientos'!F$19</f>
        <v>50262.6</v>
      </c>
      <c r="G390" s="546">
        <f>'[68]Flujo vencimientos'!G$19</f>
        <v>41870.29</v>
      </c>
      <c r="H390" s="545">
        <f>'[68]Flujo vencimientos'!H$19</f>
        <v>50262.6</v>
      </c>
      <c r="I390" s="546">
        <f>'[68]Flujo vencimientos'!I$19</f>
        <v>40271.76</v>
      </c>
      <c r="J390" s="545">
        <f>'[68]Flujo vencimientos'!J$19</f>
        <v>50262.6</v>
      </c>
      <c r="K390" s="546">
        <f>'[68]Flujo vencimientos'!K$19</f>
        <v>41358.02</v>
      </c>
      <c r="L390" s="545">
        <f>'[68]Flujo vencimientos'!L$19</f>
        <v>50262.6</v>
      </c>
      <c r="M390" s="546">
        <f>'[68]Flujo vencimientos'!M$19</f>
        <v>39776.02</v>
      </c>
      <c r="N390" s="547">
        <f aca="true" t="shared" si="158" ref="N390:O392">B390+D390+F390+H390+J390+L390</f>
        <v>301575.6</v>
      </c>
      <c r="O390" s="84">
        <f t="shared" si="158"/>
        <v>243708.31</v>
      </c>
      <c r="P390" s="545">
        <f>'[68]Flujo vencimientos'!N$19</f>
        <v>50262.6</v>
      </c>
      <c r="Q390" s="546">
        <f>'[68]Flujo vencimientos'!O$19</f>
        <v>40845.76</v>
      </c>
      <c r="R390" s="545">
        <f>'[68]Flujo vencimientos'!P$19</f>
        <v>50262.6</v>
      </c>
      <c r="S390" s="546">
        <f>'[68]Flujo vencimientos'!Q$19</f>
        <v>40589.63</v>
      </c>
      <c r="T390" s="545">
        <f>'[68]Flujo vencimientos'!R$19</f>
        <v>50262.6</v>
      </c>
      <c r="U390" s="546">
        <f>'[68]Flujo vencimientos'!S$19</f>
        <v>39032.41</v>
      </c>
      <c r="V390" s="545">
        <f>'[68]Flujo vencimientos'!T$19</f>
        <v>50262.6</v>
      </c>
      <c r="W390" s="546">
        <f>'[68]Flujo vencimientos'!U$19</f>
        <v>40077.36</v>
      </c>
      <c r="X390" s="545">
        <f>'[68]Flujo vencimientos'!V$19</f>
        <v>50262.6</v>
      </c>
      <c r="Y390" s="546">
        <f>'[68]Flujo vencimientos'!W$19</f>
        <v>38536.67</v>
      </c>
      <c r="Z390" s="545">
        <f>'[68]Flujo vencimientos'!X$19</f>
        <v>50262.6</v>
      </c>
      <c r="AA390" s="546">
        <f>'[68]Flujo vencimientos'!Y$19</f>
        <v>39565.09</v>
      </c>
      <c r="AB390" s="547">
        <f>+N390+P390+R390+T390+V390+X390+Z390</f>
        <v>603151.1999999998</v>
      </c>
      <c r="AC390" s="84">
        <f>O390+Q390+S390+U390+W390+Y390+AA390</f>
        <v>482355.23</v>
      </c>
    </row>
    <row r="391" spans="1:29" ht="13.5" hidden="1" thickBot="1">
      <c r="A391" s="5" t="s">
        <v>8</v>
      </c>
      <c r="B391" s="545"/>
      <c r="C391" s="546"/>
      <c r="D391" s="545"/>
      <c r="E391" s="546"/>
      <c r="F391" s="545"/>
      <c r="G391" s="546"/>
      <c r="H391" s="545"/>
      <c r="I391" s="546"/>
      <c r="J391" s="545"/>
      <c r="K391" s="546"/>
      <c r="L391" s="545"/>
      <c r="M391" s="546"/>
      <c r="N391" s="547">
        <f t="shared" si="158"/>
        <v>0</v>
      </c>
      <c r="O391" s="84">
        <f t="shared" si="158"/>
        <v>0</v>
      </c>
      <c r="P391" s="545"/>
      <c r="Q391" s="546"/>
      <c r="R391" s="545"/>
      <c r="S391" s="546"/>
      <c r="T391" s="545"/>
      <c r="U391" s="546"/>
      <c r="V391" s="545"/>
      <c r="W391" s="546"/>
      <c r="X391" s="545"/>
      <c r="Y391" s="546"/>
      <c r="Z391" s="545"/>
      <c r="AA391" s="546"/>
      <c r="AB391" s="547">
        <f t="shared" si="155"/>
        <v>0</v>
      </c>
      <c r="AC391" s="84">
        <f t="shared" si="156"/>
        <v>0</v>
      </c>
    </row>
    <row r="392" spans="1:29" ht="13.5" hidden="1" thickBot="1">
      <c r="A392" s="5" t="s">
        <v>11</v>
      </c>
      <c r="B392" s="545"/>
      <c r="C392" s="546"/>
      <c r="D392" s="545"/>
      <c r="E392" s="546"/>
      <c r="F392" s="545"/>
      <c r="G392" s="546"/>
      <c r="H392" s="545"/>
      <c r="I392" s="546"/>
      <c r="J392" s="545"/>
      <c r="K392" s="546"/>
      <c r="L392" s="545"/>
      <c r="M392" s="546"/>
      <c r="N392" s="547">
        <f t="shared" si="158"/>
        <v>0</v>
      </c>
      <c r="O392" s="84">
        <f t="shared" si="158"/>
        <v>0</v>
      </c>
      <c r="P392" s="545"/>
      <c r="Q392" s="546"/>
      <c r="R392" s="545"/>
      <c r="S392" s="546"/>
      <c r="T392" s="545"/>
      <c r="U392" s="546"/>
      <c r="V392" s="545"/>
      <c r="W392" s="546"/>
      <c r="X392" s="545"/>
      <c r="Y392" s="546"/>
      <c r="Z392" s="545"/>
      <c r="AA392" s="546"/>
      <c r="AB392" s="547">
        <f t="shared" si="155"/>
        <v>0</v>
      </c>
      <c r="AC392" s="84">
        <f t="shared" si="156"/>
        <v>0</v>
      </c>
    </row>
    <row r="393" spans="1:29" ht="13.5" thickBot="1">
      <c r="A393" s="296" t="s">
        <v>179</v>
      </c>
      <c r="B393" s="297">
        <f aca="true" t="shared" si="159" ref="B393:M393">SUM(B394:B395)</f>
        <v>74841.15</v>
      </c>
      <c r="C393" s="298">
        <f t="shared" si="159"/>
        <v>978.73</v>
      </c>
      <c r="D393" s="297">
        <f t="shared" si="159"/>
        <v>75328.68000000001</v>
      </c>
      <c r="E393" s="298">
        <f t="shared" si="159"/>
        <v>491.2</v>
      </c>
      <c r="F393" s="297">
        <f t="shared" si="159"/>
        <v>9836</v>
      </c>
      <c r="G393" s="298">
        <f t="shared" si="159"/>
        <v>0</v>
      </c>
      <c r="H393" s="297">
        <f t="shared" si="159"/>
        <v>9836</v>
      </c>
      <c r="I393" s="298">
        <f t="shared" si="159"/>
        <v>0</v>
      </c>
      <c r="J393" s="297">
        <f t="shared" si="159"/>
        <v>9836</v>
      </c>
      <c r="K393" s="298">
        <f t="shared" si="159"/>
        <v>0</v>
      </c>
      <c r="L393" s="297">
        <f t="shared" si="159"/>
        <v>9836</v>
      </c>
      <c r="M393" s="298">
        <f t="shared" si="159"/>
        <v>0</v>
      </c>
      <c r="N393" s="297">
        <f aca="true" t="shared" si="160" ref="N393:O396">B393+D393+F393+H393+J393+L393</f>
        <v>189513.83000000002</v>
      </c>
      <c r="O393" s="298">
        <f t="shared" si="160"/>
        <v>1469.93</v>
      </c>
      <c r="P393" s="297">
        <f aca="true" t="shared" si="161" ref="P393:AA393">SUM(P394:P395)</f>
        <v>9836</v>
      </c>
      <c r="Q393" s="298">
        <f t="shared" si="161"/>
        <v>0</v>
      </c>
      <c r="R393" s="297">
        <f t="shared" si="161"/>
        <v>9836</v>
      </c>
      <c r="S393" s="298">
        <f t="shared" si="161"/>
        <v>0</v>
      </c>
      <c r="T393" s="297">
        <f t="shared" si="161"/>
        <v>9836</v>
      </c>
      <c r="U393" s="298">
        <f t="shared" si="161"/>
        <v>0</v>
      </c>
      <c r="V393" s="297">
        <f t="shared" si="161"/>
        <v>9836</v>
      </c>
      <c r="W393" s="298">
        <f t="shared" si="161"/>
        <v>0</v>
      </c>
      <c r="X393" s="297">
        <f t="shared" si="161"/>
        <v>9836</v>
      </c>
      <c r="Y393" s="298">
        <f t="shared" si="161"/>
        <v>0</v>
      </c>
      <c r="Z393" s="297">
        <f t="shared" si="161"/>
        <v>9836</v>
      </c>
      <c r="AA393" s="298">
        <f t="shared" si="161"/>
        <v>0</v>
      </c>
      <c r="AB393" s="297">
        <f t="shared" si="155"/>
        <v>248529.83000000002</v>
      </c>
      <c r="AC393" s="298">
        <f t="shared" si="156"/>
        <v>1469.93</v>
      </c>
    </row>
    <row r="394" spans="1:29" ht="12.75">
      <c r="A394" s="400" t="str">
        <f>A362</f>
        <v>Maipú (ENOSHA)</v>
      </c>
      <c r="B394" s="299">
        <f>'[19]Flujo para el libro'!B$19</f>
        <v>65005.15</v>
      </c>
      <c r="C394" s="300">
        <f>'[19]Flujo para el libro'!C$19</f>
        <v>978.73</v>
      </c>
      <c r="D394" s="299">
        <f>'[19]Flujo para el libro'!D$19</f>
        <v>65492.68000000001</v>
      </c>
      <c r="E394" s="300">
        <f>'[19]Flujo para el libro'!E$19</f>
        <v>491.2</v>
      </c>
      <c r="F394" s="301"/>
      <c r="G394" s="302"/>
      <c r="H394" s="301"/>
      <c r="I394" s="302"/>
      <c r="J394" s="301"/>
      <c r="K394" s="302"/>
      <c r="L394" s="301"/>
      <c r="M394" s="302"/>
      <c r="N394" s="303">
        <f t="shared" si="160"/>
        <v>130497.83000000002</v>
      </c>
      <c r="O394" s="304">
        <f t="shared" si="160"/>
        <v>1469.93</v>
      </c>
      <c r="P394" s="301"/>
      <c r="Q394" s="302"/>
      <c r="R394" s="301"/>
      <c r="S394" s="302"/>
      <c r="T394" s="301"/>
      <c r="U394" s="302"/>
      <c r="V394" s="301"/>
      <c r="W394" s="302"/>
      <c r="X394" s="301"/>
      <c r="Y394" s="302"/>
      <c r="Z394" s="301"/>
      <c r="AA394" s="302"/>
      <c r="AB394" s="303">
        <f t="shared" si="155"/>
        <v>130497.83000000002</v>
      </c>
      <c r="AC394" s="304">
        <f t="shared" si="156"/>
        <v>1469.93</v>
      </c>
    </row>
    <row r="395" spans="1:29" ht="13.5" thickBot="1">
      <c r="A395" s="399" t="str">
        <f>A363</f>
        <v>Tupungato (DAABO)</v>
      </c>
      <c r="B395" s="291">
        <f>'[1]Flujos Vencimientos'!B$19</f>
        <v>9836</v>
      </c>
      <c r="C395" s="292"/>
      <c r="D395" s="291">
        <f>'[1]Flujos Vencimientos'!D$19</f>
        <v>9836</v>
      </c>
      <c r="E395" s="292"/>
      <c r="F395" s="291">
        <f>'[1]Flujos Vencimientos'!F$19</f>
        <v>9836</v>
      </c>
      <c r="G395" s="292"/>
      <c r="H395" s="291">
        <f>'[1]Flujos Vencimientos'!H$19</f>
        <v>9836</v>
      </c>
      <c r="I395" s="292"/>
      <c r="J395" s="291">
        <f>'[1]Flujos Vencimientos'!J$19</f>
        <v>9836</v>
      </c>
      <c r="K395" s="292"/>
      <c r="L395" s="291">
        <f>'[1]Flujos Vencimientos'!L$19</f>
        <v>9836</v>
      </c>
      <c r="M395" s="292"/>
      <c r="N395" s="51">
        <f t="shared" si="160"/>
        <v>59016</v>
      </c>
      <c r="O395" s="50">
        <f t="shared" si="160"/>
        <v>0</v>
      </c>
      <c r="P395" s="291">
        <f>'[1]Flujos Vencimientos'!N$19</f>
        <v>9836</v>
      </c>
      <c r="Q395" s="292"/>
      <c r="R395" s="291">
        <f>'[1]Flujos Vencimientos'!P$19</f>
        <v>9836</v>
      </c>
      <c r="S395" s="292"/>
      <c r="T395" s="291">
        <f>'[1]Flujos Vencimientos'!R$19</f>
        <v>9836</v>
      </c>
      <c r="U395" s="292"/>
      <c r="V395" s="291">
        <f>'[1]Flujos Vencimientos'!T$19</f>
        <v>9836</v>
      </c>
      <c r="W395" s="292"/>
      <c r="X395" s="291">
        <f>'[1]Flujos Vencimientos'!V$19</f>
        <v>9836</v>
      </c>
      <c r="Y395" s="292"/>
      <c r="Z395" s="291">
        <f>'[1]Flujos Vencimientos'!X$19</f>
        <v>9836</v>
      </c>
      <c r="AA395" s="292"/>
      <c r="AB395" s="51">
        <f t="shared" si="155"/>
        <v>118032</v>
      </c>
      <c r="AC395" s="50">
        <f t="shared" si="156"/>
        <v>0</v>
      </c>
    </row>
    <row r="396" spans="1:29" s="42" customFormat="1" ht="12.75" thickBot="1">
      <c r="A396" s="30" t="s">
        <v>121</v>
      </c>
      <c r="B396" s="28">
        <f>+B387+B389+B393</f>
        <v>125103.75</v>
      </c>
      <c r="C396" s="27">
        <f>+C387+C389+C393</f>
        <v>43361.280000000006</v>
      </c>
      <c r="D396" s="28">
        <f aca="true" t="shared" si="162" ref="D396:M396">+D387+D389+D393</f>
        <v>125591.28</v>
      </c>
      <c r="E396" s="27">
        <f t="shared" si="162"/>
        <v>38540.869999999995</v>
      </c>
      <c r="F396" s="28">
        <f t="shared" si="162"/>
        <v>60098.6</v>
      </c>
      <c r="G396" s="27">
        <f t="shared" si="162"/>
        <v>41870.29</v>
      </c>
      <c r="H396" s="28">
        <f t="shared" si="162"/>
        <v>60098.6</v>
      </c>
      <c r="I396" s="27">
        <f t="shared" si="162"/>
        <v>40271.76</v>
      </c>
      <c r="J396" s="28">
        <f t="shared" si="162"/>
        <v>60098.6</v>
      </c>
      <c r="K396" s="27">
        <f t="shared" si="162"/>
        <v>41358.02</v>
      </c>
      <c r="L396" s="28">
        <f t="shared" si="162"/>
        <v>60098.6</v>
      </c>
      <c r="M396" s="27">
        <f t="shared" si="162"/>
        <v>39776.02</v>
      </c>
      <c r="N396" s="28">
        <f t="shared" si="160"/>
        <v>491089.42999999993</v>
      </c>
      <c r="O396" s="27">
        <f t="shared" si="160"/>
        <v>245178.24</v>
      </c>
      <c r="P396" s="28">
        <f aca="true" t="shared" si="163" ref="P396:AA396">+P387+P389+P393</f>
        <v>60098.6</v>
      </c>
      <c r="Q396" s="27">
        <f t="shared" si="163"/>
        <v>40845.76</v>
      </c>
      <c r="R396" s="28">
        <f t="shared" si="163"/>
        <v>60098.6</v>
      </c>
      <c r="S396" s="27">
        <f t="shared" si="163"/>
        <v>40589.63</v>
      </c>
      <c r="T396" s="28">
        <f t="shared" si="163"/>
        <v>60098.6</v>
      </c>
      <c r="U396" s="27">
        <f t="shared" si="163"/>
        <v>39032.41</v>
      </c>
      <c r="V396" s="28">
        <f t="shared" si="163"/>
        <v>60098.6</v>
      </c>
      <c r="W396" s="27">
        <f t="shared" si="163"/>
        <v>40077.36</v>
      </c>
      <c r="X396" s="28">
        <f t="shared" si="163"/>
        <v>60098.6</v>
      </c>
      <c r="Y396" s="27">
        <f t="shared" si="163"/>
        <v>38536.67</v>
      </c>
      <c r="Z396" s="28">
        <f t="shared" si="163"/>
        <v>60098.6</v>
      </c>
      <c r="AA396" s="27">
        <f t="shared" si="163"/>
        <v>39565.09</v>
      </c>
      <c r="AB396" s="28">
        <f t="shared" si="155"/>
        <v>851681.0299999998</v>
      </c>
      <c r="AC396" s="27">
        <f t="shared" si="156"/>
        <v>483825.16000000003</v>
      </c>
    </row>
    <row r="397" spans="1:29" s="295" customFormat="1" ht="6" customHeight="1" thickBot="1">
      <c r="A397" s="77"/>
      <c r="B397" s="294"/>
      <c r="C397" s="294"/>
      <c r="D397" s="294"/>
      <c r="E397" s="294"/>
      <c r="F397" s="294"/>
      <c r="G397" s="294"/>
      <c r="H397" s="294"/>
      <c r="I397" s="294"/>
      <c r="J397" s="294"/>
      <c r="K397" s="294"/>
      <c r="L397" s="294"/>
      <c r="M397" s="294"/>
      <c r="N397" s="294"/>
      <c r="O397" s="294"/>
      <c r="P397" s="294"/>
      <c r="Q397" s="294"/>
      <c r="R397" s="294"/>
      <c r="S397" s="294"/>
      <c r="T397" s="294"/>
      <c r="U397" s="294"/>
      <c r="V397" s="294"/>
      <c r="W397" s="294"/>
      <c r="X397" s="294"/>
      <c r="Y397" s="294"/>
      <c r="Z397" s="294"/>
      <c r="AA397" s="294"/>
      <c r="AB397" s="294"/>
      <c r="AC397" s="294"/>
    </row>
    <row r="398" spans="1:29" ht="15.75" thickBot="1">
      <c r="A398" s="87" t="s">
        <v>93</v>
      </c>
      <c r="B398" s="28">
        <f>+B384+B396</f>
        <v>1039204.1900000002</v>
      </c>
      <c r="C398" s="27">
        <f aca="true" t="shared" si="164" ref="C398:M398">+C384+C396</f>
        <v>99259.16</v>
      </c>
      <c r="D398" s="28">
        <f t="shared" si="164"/>
        <v>1043003.3299999998</v>
      </c>
      <c r="E398" s="27">
        <f t="shared" si="164"/>
        <v>87804.56</v>
      </c>
      <c r="F398" s="28">
        <f t="shared" si="164"/>
        <v>980834.64</v>
      </c>
      <c r="G398" s="27">
        <f t="shared" si="164"/>
        <v>95046.03</v>
      </c>
      <c r="H398" s="28">
        <f t="shared" si="164"/>
        <v>984170.2899999999</v>
      </c>
      <c r="I398" s="27">
        <f t="shared" si="164"/>
        <v>90399.45000000001</v>
      </c>
      <c r="J398" s="28">
        <f t="shared" si="164"/>
        <v>987518.36</v>
      </c>
      <c r="K398" s="27">
        <f t="shared" si="164"/>
        <v>91769</v>
      </c>
      <c r="L398" s="28">
        <f t="shared" si="164"/>
        <v>990878.23</v>
      </c>
      <c r="M398" s="27">
        <f t="shared" si="164"/>
        <v>87207.41</v>
      </c>
      <c r="N398" s="28">
        <f>B398+D398+F398+H398+J398+L398</f>
        <v>6025609.040000001</v>
      </c>
      <c r="O398" s="27">
        <f>C398+E398+G398+I398+K398+M398</f>
        <v>551485.61</v>
      </c>
      <c r="P398" s="28">
        <f aca="true" t="shared" si="165" ref="P398:AA398">+P384+P396</f>
        <v>994250.65</v>
      </c>
      <c r="Q398" s="27">
        <f t="shared" si="165"/>
        <v>88448.98</v>
      </c>
      <c r="R398" s="28">
        <f t="shared" si="165"/>
        <v>997634.85</v>
      </c>
      <c r="S398" s="27">
        <f t="shared" si="165"/>
        <v>86772.98</v>
      </c>
      <c r="T398" s="28">
        <f t="shared" si="165"/>
        <v>1001031.7500000001</v>
      </c>
      <c r="U398" s="27">
        <f t="shared" si="165"/>
        <v>82341.02</v>
      </c>
      <c r="V398" s="28">
        <f t="shared" si="165"/>
        <v>1004440.4699999999</v>
      </c>
      <c r="W398" s="27">
        <f t="shared" si="165"/>
        <v>83387.70999999999</v>
      </c>
      <c r="X398" s="28">
        <f t="shared" si="165"/>
        <v>1007862.1099999999</v>
      </c>
      <c r="Y398" s="27">
        <f t="shared" si="165"/>
        <v>79043.92</v>
      </c>
      <c r="Z398" s="28">
        <f t="shared" si="165"/>
        <v>1011295.5</v>
      </c>
      <c r="AA398" s="27">
        <f t="shared" si="165"/>
        <v>79958.38999999998</v>
      </c>
      <c r="AB398" s="28">
        <f>+N398+P398+R398+T398+V398+X398+Z398</f>
        <v>12042124.370000001</v>
      </c>
      <c r="AC398" s="27">
        <f>O398+Q398+S398+U398+W398+Y398+AA398</f>
        <v>1051438.6099999999</v>
      </c>
    </row>
    <row r="401" spans="1:30" ht="27" thickBot="1">
      <c r="A401" s="21"/>
      <c r="B401" s="21"/>
      <c r="C401" s="21"/>
      <c r="D401" s="21"/>
      <c r="E401" s="21"/>
      <c r="F401" s="21"/>
      <c r="G401" s="21"/>
      <c r="H401" s="22" t="s">
        <v>142</v>
      </c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2" t="str">
        <f>H401</f>
        <v>AÑO 2020</v>
      </c>
      <c r="W401" s="21"/>
      <c r="X401" s="21"/>
      <c r="Y401" s="21"/>
      <c r="Z401" s="21"/>
      <c r="AA401" s="21"/>
      <c r="AB401" s="755"/>
      <c r="AC401" s="755"/>
      <c r="AD401" s="16" t="str">
        <f>V401</f>
        <v>AÑO 2020</v>
      </c>
    </row>
    <row r="402" spans="1:29" s="42" customFormat="1" ht="12.75" thickBot="1">
      <c r="A402" s="45" t="s">
        <v>96</v>
      </c>
      <c r="B402" s="44"/>
      <c r="C402" s="44"/>
      <c r="D402" s="44"/>
      <c r="E402" s="44"/>
      <c r="F402" s="44"/>
      <c r="G402" s="44"/>
      <c r="H402" s="44" t="s">
        <v>144</v>
      </c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 t="str">
        <f>H402</f>
        <v>TOMADOS EN DOLARES</v>
      </c>
      <c r="W402" s="44"/>
      <c r="X402" s="44"/>
      <c r="Y402" s="44"/>
      <c r="Z402" s="44"/>
      <c r="AA402" s="44"/>
      <c r="AB402" s="44"/>
      <c r="AC402" s="52"/>
    </row>
    <row r="403" spans="1:29" ht="12.75">
      <c r="A403" s="75" t="s">
        <v>122</v>
      </c>
      <c r="B403" s="69">
        <f>SUM(B404:B415)</f>
        <v>954643.45</v>
      </c>
      <c r="C403" s="70">
        <f>SUM(C404:C415)</f>
        <v>38918.08</v>
      </c>
      <c r="D403" s="69">
        <f aca="true" t="shared" si="166" ref="D403:M403">SUM(D404:D415)</f>
        <v>958101.7699999999</v>
      </c>
      <c r="E403" s="70">
        <f t="shared" si="166"/>
        <v>35016.83</v>
      </c>
      <c r="F403" s="69">
        <f t="shared" si="166"/>
        <v>961573.3299999998</v>
      </c>
      <c r="G403" s="70">
        <f t="shared" si="166"/>
        <v>35934.030000000006</v>
      </c>
      <c r="H403" s="69">
        <f t="shared" si="166"/>
        <v>965056.7500000001</v>
      </c>
      <c r="I403" s="70">
        <f t="shared" si="166"/>
        <v>33314.32</v>
      </c>
      <c r="J403" s="69">
        <f t="shared" si="166"/>
        <v>968553.4300000002</v>
      </c>
      <c r="K403" s="70">
        <f t="shared" si="166"/>
        <v>32904.310000000005</v>
      </c>
      <c r="L403" s="69">
        <f t="shared" si="166"/>
        <v>972062.29</v>
      </c>
      <c r="M403" s="70">
        <f t="shared" si="166"/>
        <v>30360.29</v>
      </c>
      <c r="N403" s="69">
        <f aca="true" t="shared" si="167" ref="N403:N416">B403+D403+F403+H403+J403+L403</f>
        <v>5779991.0200000005</v>
      </c>
      <c r="O403" s="70">
        <f aca="true" t="shared" si="168" ref="O403:O416">C403+E403+G403+I403+K403+M403</f>
        <v>206447.86000000002</v>
      </c>
      <c r="P403" s="69">
        <f aca="true" t="shared" si="169" ref="P403:AA403">SUM(P404:P415)</f>
        <v>975584.29</v>
      </c>
      <c r="Q403" s="70">
        <f t="shared" si="169"/>
        <v>29828.86</v>
      </c>
      <c r="R403" s="69">
        <f t="shared" si="169"/>
        <v>979118.6200000001</v>
      </c>
      <c r="S403" s="70">
        <f t="shared" si="169"/>
        <v>28273.590000000004</v>
      </c>
      <c r="T403" s="69">
        <f t="shared" si="169"/>
        <v>982666.19</v>
      </c>
      <c r="U403" s="70">
        <f t="shared" si="169"/>
        <v>25845.56</v>
      </c>
      <c r="V403" s="69">
        <f t="shared" si="169"/>
        <v>986226.1499999999</v>
      </c>
      <c r="W403" s="70">
        <f t="shared" si="169"/>
        <v>25128.579999999994</v>
      </c>
      <c r="X403" s="69">
        <f t="shared" si="169"/>
        <v>989799.4699999999</v>
      </c>
      <c r="Y403" s="70">
        <f t="shared" si="169"/>
        <v>22779.089999999997</v>
      </c>
      <c r="Z403" s="69">
        <f t="shared" si="169"/>
        <v>993385.29</v>
      </c>
      <c r="AA403" s="70">
        <f t="shared" si="169"/>
        <v>21936.14</v>
      </c>
      <c r="AB403" s="69">
        <f aca="true" t="shared" si="170" ref="AB403:AB416">+N403+P403+R403+T403+V403+X403+Z403</f>
        <v>11686771.030000001</v>
      </c>
      <c r="AC403" s="70">
        <f aca="true" t="shared" si="171" ref="AC403:AC416">O403+Q403+S403+U403+W403+Y403+AA403</f>
        <v>360239.68000000005</v>
      </c>
    </row>
    <row r="404" spans="1:29" ht="12.75">
      <c r="A404" s="34" t="s">
        <v>1</v>
      </c>
      <c r="B404" s="67">
        <f>'[24]Flujo Vencimientos'!B$20</f>
        <v>103003.44</v>
      </c>
      <c r="C404" s="68">
        <f>'[24]Flujo Vencimientos'!C$20</f>
        <v>4199.139999999999</v>
      </c>
      <c r="D404" s="67">
        <f>'[24]Flujo Vencimientos'!D$20</f>
        <v>103376.55</v>
      </c>
      <c r="E404" s="68">
        <f>'[24]Flujo Vencimientos'!E$20</f>
        <v>3778.1800000000003</v>
      </c>
      <c r="F404" s="67">
        <f>'[24]Flujo Vencimientos'!F$20</f>
        <v>103751.15</v>
      </c>
      <c r="G404" s="68">
        <f>'[24]Flujo Vencimientos'!G$20</f>
        <v>3877.17</v>
      </c>
      <c r="H404" s="67">
        <f>'[24]Flujo Vencimientos'!H$20</f>
        <v>104126.97</v>
      </c>
      <c r="I404" s="68">
        <f>'[24]Flujo Vencimientos'!I$20</f>
        <v>3594.53</v>
      </c>
      <c r="J404" s="67">
        <f>'[24]Flujo Vencimientos'!J$20</f>
        <v>104504.29</v>
      </c>
      <c r="K404" s="68">
        <f>'[24]Flujo Vencimientos'!K$20</f>
        <v>3550.3</v>
      </c>
      <c r="L404" s="67">
        <f>'[24]Flujo Vencimientos'!L$20</f>
        <v>104882.84000000001</v>
      </c>
      <c r="M404" s="68">
        <f>'[24]Flujo Vencimientos'!M$20</f>
        <v>3275.76</v>
      </c>
      <c r="N404" s="73">
        <f t="shared" si="167"/>
        <v>623645.24</v>
      </c>
      <c r="O404" s="74">
        <f t="shared" si="168"/>
        <v>22275.08</v>
      </c>
      <c r="P404" s="67">
        <f>'[24]Flujo Vencimientos'!N$20</f>
        <v>105262.9</v>
      </c>
      <c r="Q404" s="68">
        <f>'[24]Flujo Vencimientos'!O$20</f>
        <v>3218.48</v>
      </c>
      <c r="R404" s="67">
        <f>'[24]Flujo Vencimientos'!P$20</f>
        <v>105644.20000000001</v>
      </c>
      <c r="S404" s="68">
        <f>'[24]Flujo Vencimientos'!Q$20</f>
        <v>3050.62</v>
      </c>
      <c r="T404" s="67">
        <f>'[24]Flujo Vencimientos'!R$20</f>
        <v>106027.02</v>
      </c>
      <c r="U404" s="68">
        <f>'[24]Flujo Vencimientos'!S$20</f>
        <v>2788.66</v>
      </c>
      <c r="V404" s="67">
        <f>'[24]Flujo Vencimientos'!T$20</f>
        <v>106411.08</v>
      </c>
      <c r="W404" s="68">
        <f>'[24]Flujo Vencimientos'!U$20</f>
        <v>2711.27</v>
      </c>
      <c r="X404" s="67">
        <f>'[24]Flujo Vencimientos'!V$20</f>
        <v>106796.68000000001</v>
      </c>
      <c r="Y404" s="68">
        <f>'[24]Flujo Vencimientos'!W$20</f>
        <v>2457.8199999999997</v>
      </c>
      <c r="Z404" s="67">
        <f>'[24]Flujo Vencimientos'!X$20</f>
        <v>107183.53</v>
      </c>
      <c r="AA404" s="68">
        <f>'[24]Flujo Vencimientos'!Y$20</f>
        <v>2366.84</v>
      </c>
      <c r="AB404" s="73">
        <f t="shared" si="170"/>
        <v>1260970.6500000001</v>
      </c>
      <c r="AC404" s="74">
        <f t="shared" si="171"/>
        <v>38868.770000000004</v>
      </c>
    </row>
    <row r="405" spans="1:29" ht="12.75">
      <c r="A405" s="34" t="s">
        <v>21</v>
      </c>
      <c r="B405" s="67">
        <f>'[26]Flujo de Vencimientos'!B$20</f>
        <v>62340.479999999996</v>
      </c>
      <c r="C405" s="68">
        <f>'[26]Flujo de Vencimientos'!C$20</f>
        <v>2541.47</v>
      </c>
      <c r="D405" s="67">
        <f>'[26]Flujo de Vencimientos'!D$20</f>
        <v>62566.270000000004</v>
      </c>
      <c r="E405" s="68">
        <f>'[26]Flujo de Vencimientos'!E$20</f>
        <v>2286.6499999999996</v>
      </c>
      <c r="F405" s="67">
        <f>'[26]Flujo de Vencimientos'!F$20</f>
        <v>62793.02</v>
      </c>
      <c r="G405" s="68">
        <f>'[26]Flujo de Vencimientos'!G$20</f>
        <v>2346.59</v>
      </c>
      <c r="H405" s="67">
        <f>'[26]Flujo de Vencimientos'!H$20</f>
        <v>63020.45</v>
      </c>
      <c r="I405" s="68">
        <f>'[26]Flujo de Vencimientos'!I$20</f>
        <v>2175.48</v>
      </c>
      <c r="J405" s="67">
        <f>'[26]Flujo de Vencimientos'!J$20</f>
        <v>63248.84</v>
      </c>
      <c r="K405" s="68">
        <f>'[26]Flujo de Vencimientos'!K$20</f>
        <v>2148.7400000000002</v>
      </c>
      <c r="L405" s="67">
        <f>'[26]Flujo de Vencimientos'!L$20</f>
        <v>63477.92</v>
      </c>
      <c r="M405" s="68">
        <f>'[26]Flujo de Vencimientos'!M$20</f>
        <v>1982.6000000000001</v>
      </c>
      <c r="N405" s="73">
        <f t="shared" si="167"/>
        <v>377446.9799999999</v>
      </c>
      <c r="O405" s="74">
        <f t="shared" si="168"/>
        <v>13481.529999999999</v>
      </c>
      <c r="P405" s="67">
        <f>'[26]Flujo de Vencimientos'!N$20</f>
        <v>63707.979999999996</v>
      </c>
      <c r="Q405" s="68">
        <f>'[26]Flujo de Vencimientos'!O$20</f>
        <v>1947.9</v>
      </c>
      <c r="R405" s="67">
        <f>'[26]Flujo de Vencimientos'!P$20</f>
        <v>63938.72</v>
      </c>
      <c r="S405" s="68">
        <f>'[26]Flujo de Vencimientos'!Q$20</f>
        <v>1846.3100000000002</v>
      </c>
      <c r="T405" s="67">
        <f>'[26]Flujo de Vencimientos'!R$20</f>
        <v>64170.439999999995</v>
      </c>
      <c r="U405" s="68">
        <f>'[26]Flujo de Vencimientos'!S$20</f>
        <v>1687.78</v>
      </c>
      <c r="V405" s="67">
        <f>'[26]Flujo de Vencimientos'!T$20</f>
        <v>64402.86</v>
      </c>
      <c r="W405" s="68">
        <f>'[26]Flujo de Vencimientos'!U$20</f>
        <v>1640.98</v>
      </c>
      <c r="X405" s="67">
        <f>'[26]Flujo de Vencimientos'!V$20</f>
        <v>64636.259999999995</v>
      </c>
      <c r="Y405" s="68">
        <f>'[26]Flujo de Vencimientos'!W$20</f>
        <v>1487.55</v>
      </c>
      <c r="Z405" s="67">
        <f>'[26]Flujo de Vencimientos'!X$20</f>
        <v>64870.36</v>
      </c>
      <c r="AA405" s="68">
        <f>'[26]Flujo de Vencimientos'!Y$20</f>
        <v>1432.5</v>
      </c>
      <c r="AB405" s="73">
        <f t="shared" si="170"/>
        <v>763173.5999999999</v>
      </c>
      <c r="AC405" s="74">
        <f t="shared" si="171"/>
        <v>23524.549999999996</v>
      </c>
    </row>
    <row r="406" spans="1:29" ht="12.75">
      <c r="A406" s="34" t="s">
        <v>22</v>
      </c>
      <c r="B406" s="67">
        <f>'[41]Flujo Vencimientos'!B$20</f>
        <v>98076.06000000001</v>
      </c>
      <c r="C406" s="68">
        <f>'[41]Flujo Vencimientos'!C$20</f>
        <v>3998.29</v>
      </c>
      <c r="D406" s="67">
        <f>'[41]Flujo Vencimientos'!D$20</f>
        <v>98431.31999999999</v>
      </c>
      <c r="E406" s="68">
        <f>'[41]Flujo Vencimientos'!E$20</f>
        <v>3597.4900000000002</v>
      </c>
      <c r="F406" s="67">
        <f>'[41]Flujo Vencimientos'!F$20</f>
        <v>98788.01000000001</v>
      </c>
      <c r="G406" s="68">
        <f>'[41]Flujo Vencimientos'!G$20</f>
        <v>3691.7200000000003</v>
      </c>
      <c r="H406" s="67">
        <f>'[41]Flujo Vencimientos'!H$20</f>
        <v>99145.84</v>
      </c>
      <c r="I406" s="68">
        <f>'[41]Flujo Vencimientos'!I$20</f>
        <v>3422.58</v>
      </c>
      <c r="J406" s="67">
        <f>'[41]Flujo Vencimientos'!J$20</f>
        <v>99505.12000000001</v>
      </c>
      <c r="K406" s="68">
        <f>'[41]Flujo Vencimientos'!K$20</f>
        <v>3380.41</v>
      </c>
      <c r="L406" s="67">
        <f>'[41]Flujo Vencimientos'!L$20</f>
        <v>99865.56</v>
      </c>
      <c r="M406" s="68">
        <f>'[41]Flujo Vencimientos'!M$20</f>
        <v>3119.1</v>
      </c>
      <c r="N406" s="73">
        <f t="shared" si="167"/>
        <v>593811.9099999999</v>
      </c>
      <c r="O406" s="74">
        <f t="shared" si="168"/>
        <v>21209.589999999997</v>
      </c>
      <c r="P406" s="67">
        <f>'[41]Flujo Vencimientos'!N$20</f>
        <v>100227.44</v>
      </c>
      <c r="Q406" s="68">
        <f>'[41]Flujo Vencimientos'!O$20</f>
        <v>3064.46</v>
      </c>
      <c r="R406" s="67">
        <f>'[41]Flujo Vencimientos'!P$20</f>
        <v>100590.48999999999</v>
      </c>
      <c r="S406" s="68">
        <f>'[41]Flujo Vencimientos'!Q$20</f>
        <v>2904.7000000000003</v>
      </c>
      <c r="T406" s="67">
        <f>'[41]Flujo Vencimientos'!R$20</f>
        <v>100955.01000000001</v>
      </c>
      <c r="U406" s="68">
        <f>'[41]Flujo Vencimientos'!S$20</f>
        <v>2655.25</v>
      </c>
      <c r="V406" s="67">
        <f>'[41]Flujo Vencimientos'!T$20</f>
        <v>101320.69</v>
      </c>
      <c r="W406" s="68">
        <f>'[41]Flujo Vencimientos'!U$20</f>
        <v>2581.59</v>
      </c>
      <c r="X406" s="67">
        <f>'[41]Flujo Vencimientos'!V$20</f>
        <v>101687.85</v>
      </c>
      <c r="Y406" s="68">
        <f>'[41]Flujo Vencimientos'!W$20</f>
        <v>2340.2000000000003</v>
      </c>
      <c r="Z406" s="67">
        <f>'[41]Flujo Vencimientos'!X$20</f>
        <v>102056.19</v>
      </c>
      <c r="AA406" s="68">
        <f>'[41]Flujo Vencimientos'!Y$20</f>
        <v>2253.63</v>
      </c>
      <c r="AB406" s="73">
        <f t="shared" si="170"/>
        <v>1200649.5799999998</v>
      </c>
      <c r="AC406" s="74">
        <f t="shared" si="171"/>
        <v>37009.41999999999</v>
      </c>
    </row>
    <row r="407" spans="1:29" ht="12.75">
      <c r="A407" s="34" t="s">
        <v>16</v>
      </c>
      <c r="B407" s="67">
        <f>'[39]Flujo Vencimiento'!B$20</f>
        <v>210167.39</v>
      </c>
      <c r="C407" s="68">
        <f>'[39]Flujo Vencimiento'!C$20</f>
        <v>8567.880000000001</v>
      </c>
      <c r="D407" s="67">
        <f>'[39]Flujo Vencimiento'!D$20</f>
        <v>210928.76</v>
      </c>
      <c r="E407" s="68">
        <f>'[39]Flujo Vencimiento'!E$20</f>
        <v>7709.05</v>
      </c>
      <c r="F407" s="67">
        <f>'[39]Flujo Vencimiento'!F$20</f>
        <v>211693.02000000002</v>
      </c>
      <c r="G407" s="68">
        <f>'[39]Flujo Vencimiento'!G$20</f>
        <v>7910.969999999999</v>
      </c>
      <c r="H407" s="67">
        <f>'[39]Flujo Vencimiento'!H$20</f>
        <v>212459.91</v>
      </c>
      <c r="I407" s="68">
        <f>'[39]Flujo Vencimiento'!I$20</f>
        <v>7334.27</v>
      </c>
      <c r="J407" s="67">
        <f>'[39]Flujo Vencimiento'!J$20</f>
        <v>213229.73</v>
      </c>
      <c r="K407" s="68">
        <f>'[39]Flujo Vencimiento'!K$20</f>
        <v>7244</v>
      </c>
      <c r="L407" s="67">
        <f>'[39]Flujo Vencimiento'!L$20</f>
        <v>214002.19</v>
      </c>
      <c r="M407" s="68">
        <f>'[39]Flujo Vencimiento'!M$20</f>
        <v>6683.929999999999</v>
      </c>
      <c r="N407" s="73">
        <f t="shared" si="167"/>
        <v>1272481</v>
      </c>
      <c r="O407" s="74">
        <f t="shared" si="168"/>
        <v>45450.1</v>
      </c>
      <c r="P407" s="67">
        <f>'[39]Flujo Vencimiento'!N$20</f>
        <v>214777.59</v>
      </c>
      <c r="Q407" s="68">
        <f>'[39]Flujo Vencimiento'!O$20</f>
        <v>6566.93</v>
      </c>
      <c r="R407" s="67">
        <f>'[39]Flujo Vencimiento'!P$20</f>
        <v>215555.66</v>
      </c>
      <c r="S407" s="68">
        <f>'[39]Flujo Vencimiento'!Q$20</f>
        <v>6224.570000000001</v>
      </c>
      <c r="T407" s="67">
        <f>'[39]Flujo Vencimiento'!R$20</f>
        <v>216336.69</v>
      </c>
      <c r="U407" s="68">
        <f>'[39]Flujo Vencimiento'!S$20</f>
        <v>5689.97</v>
      </c>
      <c r="V407" s="67">
        <f>'[39]Flujo Vencimiento'!T$20</f>
        <v>217120.4</v>
      </c>
      <c r="W407" s="68">
        <f>'[39]Flujo Vencimiento'!U$20</f>
        <v>5532.129999999999</v>
      </c>
      <c r="X407" s="67">
        <f>'[39]Flujo Vencimiento'!V$20</f>
        <v>217907.1</v>
      </c>
      <c r="Y407" s="68">
        <f>'[39]Flujo Vencimiento'!W$20</f>
        <v>5014.87</v>
      </c>
      <c r="Z407" s="67">
        <f>'[39]Flujo Vencimiento'!X$20</f>
        <v>218696.51</v>
      </c>
      <c r="AA407" s="68">
        <f>'[39]Flujo Vencimiento'!Y$20</f>
        <v>4829.32</v>
      </c>
      <c r="AB407" s="73">
        <f t="shared" si="170"/>
        <v>2572874.95</v>
      </c>
      <c r="AC407" s="74">
        <f t="shared" si="171"/>
        <v>79307.88999999998</v>
      </c>
    </row>
    <row r="408" spans="1:29" ht="12.75">
      <c r="A408" s="34" t="s">
        <v>15</v>
      </c>
      <c r="B408" s="67">
        <f>'[36]Flujo de Vencimientos'!B$20</f>
        <v>20537.010000000002</v>
      </c>
      <c r="C408" s="68">
        <f>'[36]Flujo de Vencimientos'!C$20</f>
        <v>837.24</v>
      </c>
      <c r="D408" s="67">
        <f>'[36]Flujo de Vencimientos'!D$20</f>
        <v>20611.49</v>
      </c>
      <c r="E408" s="68">
        <f>'[36]Flujo de Vencimientos'!E$20</f>
        <v>753.3399999999999</v>
      </c>
      <c r="F408" s="67">
        <f>'[36]Flujo de Vencimientos'!F$20</f>
        <v>20686.089999999997</v>
      </c>
      <c r="G408" s="68">
        <f>'[36]Flujo de Vencimientos'!G$20</f>
        <v>773.0699999999999</v>
      </c>
      <c r="H408" s="67">
        <f>'[36]Flujo de Vencimientos'!H$20</f>
        <v>20761.11</v>
      </c>
      <c r="I408" s="68">
        <f>'[36]Flujo de Vencimientos'!I$20</f>
        <v>716.65</v>
      </c>
      <c r="J408" s="67">
        <f>'[36]Flujo de Vencimientos'!J$20</f>
        <v>20836.260000000002</v>
      </c>
      <c r="K408" s="68">
        <f>'[36]Flujo de Vencimientos'!K$20</f>
        <v>707.8499999999999</v>
      </c>
      <c r="L408" s="67">
        <f>'[36]Flujo de Vencimientos'!L$20</f>
        <v>20911.82</v>
      </c>
      <c r="M408" s="68">
        <f>'[36]Flujo de Vencimientos'!M$20</f>
        <v>653.1700000000001</v>
      </c>
      <c r="N408" s="73">
        <f t="shared" si="167"/>
        <v>124343.78</v>
      </c>
      <c r="O408" s="74">
        <f t="shared" si="168"/>
        <v>4441.32</v>
      </c>
      <c r="P408" s="67">
        <f>'[36]Flujo de Vencimientos'!N$20</f>
        <v>20987.510000000002</v>
      </c>
      <c r="Q408" s="68">
        <f>'[36]Flujo de Vencimientos'!O$20</f>
        <v>641.7199999999999</v>
      </c>
      <c r="R408" s="67">
        <f>'[36]Flujo de Vencimientos'!P$20</f>
        <v>21063.62</v>
      </c>
      <c r="S408" s="68">
        <f>'[36]Flujo de Vencimientos'!Q$20</f>
        <v>608.25</v>
      </c>
      <c r="T408" s="67">
        <f>'[36]Flujo de Vencimientos'!R$20</f>
        <v>21139.86</v>
      </c>
      <c r="U408" s="68">
        <f>'[36]Flujo de Vencimientos'!S$20</f>
        <v>556.04</v>
      </c>
      <c r="V408" s="67">
        <f>'[36]Flujo de Vencimientos'!T$20</f>
        <v>21216.52</v>
      </c>
      <c r="W408" s="68">
        <f>'[36]Flujo de Vencimientos'!U$20</f>
        <v>540.61</v>
      </c>
      <c r="X408" s="67">
        <f>'[36]Flujo de Vencimientos'!V$20</f>
        <v>21293.32</v>
      </c>
      <c r="Y408" s="68">
        <f>'[36]Flujo de Vencimientos'!W$20</f>
        <v>490.07</v>
      </c>
      <c r="Z408" s="67">
        <f>'[36]Flujo de Vencimientos'!X$20</f>
        <v>21370.54</v>
      </c>
      <c r="AA408" s="68">
        <f>'[36]Flujo de Vencimientos'!Y$20</f>
        <v>471.89</v>
      </c>
      <c r="AB408" s="73">
        <f t="shared" si="170"/>
        <v>251415.15000000002</v>
      </c>
      <c r="AC408" s="74">
        <f t="shared" si="171"/>
        <v>7749.9</v>
      </c>
    </row>
    <row r="409" spans="1:29" ht="12.75">
      <c r="A409" s="34" t="s">
        <v>14</v>
      </c>
      <c r="B409" s="67">
        <f>'[34]Flujo de Vencimiento'!B$20</f>
        <v>13330.96</v>
      </c>
      <c r="C409" s="68">
        <f>'[34]Flujo de Vencimiento'!C$20</f>
        <v>543.47</v>
      </c>
      <c r="D409" s="67">
        <f>'[34]Flujo de Vencimiento'!D$20</f>
        <v>13379.179999999998</v>
      </c>
      <c r="E409" s="68">
        <f>'[34]Flujo de Vencimiento'!E$20</f>
        <v>489.02</v>
      </c>
      <c r="F409" s="67">
        <f>'[34]Flujo de Vencimiento'!F$20</f>
        <v>13427.73</v>
      </c>
      <c r="G409" s="68">
        <f>'[34]Flujo de Vencimiento'!G$20</f>
        <v>501.8100000000001</v>
      </c>
      <c r="H409" s="67">
        <f>'[34]Flujo de Vencimiento'!H$20</f>
        <v>13476.31</v>
      </c>
      <c r="I409" s="68">
        <f>'[34]Flujo de Vencimiento'!I$20</f>
        <v>465.23</v>
      </c>
      <c r="J409" s="67">
        <f>'[34]Flujo de Vencimiento'!J$20</f>
        <v>13525.199999999999</v>
      </c>
      <c r="K409" s="68">
        <f>'[34]Flujo de Vencimiento'!K$20</f>
        <v>459.52</v>
      </c>
      <c r="L409" s="67">
        <f>'[34]Flujo de Vencimiento'!L$20</f>
        <v>13574.13</v>
      </c>
      <c r="M409" s="68">
        <f>'[34]Flujo de Vencimiento'!M$20</f>
        <v>423.96</v>
      </c>
      <c r="N409" s="73">
        <f t="shared" si="167"/>
        <v>80713.51</v>
      </c>
      <c r="O409" s="74">
        <f t="shared" si="168"/>
        <v>2883.01</v>
      </c>
      <c r="P409" s="67">
        <f>'[34]Flujo de Vencimiento'!N$20</f>
        <v>13623.38</v>
      </c>
      <c r="Q409" s="68">
        <f>'[34]Flujo de Vencimiento'!O$20</f>
        <v>416.51</v>
      </c>
      <c r="R409" s="67">
        <f>'[34]Flujo de Vencimiento'!P$20</f>
        <v>13672.67</v>
      </c>
      <c r="S409" s="68">
        <f>'[34]Flujo de Vencimiento'!Q$20</f>
        <v>394.84</v>
      </c>
      <c r="T409" s="67">
        <f>'[34]Flujo de Vencimiento'!R$20</f>
        <v>13722.279999999999</v>
      </c>
      <c r="U409" s="68">
        <f>'[34]Flujo de Vencimiento'!S$20</f>
        <v>360.91999999999996</v>
      </c>
      <c r="V409" s="67">
        <f>'[34]Flujo de Vencimiento'!T$20</f>
        <v>13771.92</v>
      </c>
      <c r="W409" s="68">
        <f>'[34]Flujo de Vencimiento'!U$20</f>
        <v>350.93</v>
      </c>
      <c r="X409" s="67">
        <f>'[34]Flujo de Vencimiento'!V$20</f>
        <v>13821.89</v>
      </c>
      <c r="Y409" s="68">
        <f>'[34]Flujo de Vencimiento'!W$20</f>
        <v>318.08</v>
      </c>
      <c r="Z409" s="67">
        <f>'[34]Flujo de Vencimiento'!X$20</f>
        <v>13871.89</v>
      </c>
      <c r="AA409" s="68">
        <f>'[34]Flujo de Vencimiento'!Y$20</f>
        <v>306.36</v>
      </c>
      <c r="AB409" s="73">
        <f t="shared" si="170"/>
        <v>163197.54000000004</v>
      </c>
      <c r="AC409" s="74">
        <f t="shared" si="171"/>
        <v>5030.650000000001</v>
      </c>
    </row>
    <row r="410" spans="1:29" ht="12.75">
      <c r="A410" s="34" t="s">
        <v>13</v>
      </c>
      <c r="B410" s="67">
        <f>'[32]Flujo de Vencimientos'!B$20</f>
        <v>49451.93</v>
      </c>
      <c r="C410" s="68">
        <f>'[32]Flujo de Vencimientos'!C$20</f>
        <v>2016.0300000000002</v>
      </c>
      <c r="D410" s="67">
        <f>'[32]Flujo de Vencimientos'!D$20</f>
        <v>49631.170000000006</v>
      </c>
      <c r="E410" s="68">
        <f>'[32]Flujo de Vencimientos'!E$20</f>
        <v>1813.93</v>
      </c>
      <c r="F410" s="67">
        <f>'[32]Flujo de Vencimientos'!F$20</f>
        <v>49810.91</v>
      </c>
      <c r="G410" s="68">
        <f>'[32]Flujo de Vencimientos'!G$20</f>
        <v>1861.42</v>
      </c>
      <c r="H410" s="67">
        <f>'[32]Flujo de Vencimientos'!H$20</f>
        <v>49991.44</v>
      </c>
      <c r="I410" s="68">
        <f>'[32]Flujo de Vencimientos'!I$20</f>
        <v>1725.72</v>
      </c>
      <c r="J410" s="67">
        <f>'[32]Flujo de Vencimientos'!J$20</f>
        <v>50172.49</v>
      </c>
      <c r="K410" s="68">
        <f>'[32]Flujo de Vencimientos'!K$20</f>
        <v>1704.4699999999998</v>
      </c>
      <c r="L410" s="67">
        <f>'[32]Flujo de Vencimientos'!L$20</f>
        <v>50354.340000000004</v>
      </c>
      <c r="M410" s="68">
        <f>'[32]Flujo de Vencimientos'!M$20</f>
        <v>1572.69</v>
      </c>
      <c r="N410" s="73">
        <f t="shared" si="167"/>
        <v>299412.28</v>
      </c>
      <c r="O410" s="74">
        <f t="shared" si="168"/>
        <v>10694.26</v>
      </c>
      <c r="P410" s="67">
        <f>'[32]Flujo de Vencimientos'!N$20</f>
        <v>50536.7</v>
      </c>
      <c r="Q410" s="68">
        <f>'[32]Flujo de Vencimientos'!O$20</f>
        <v>1545.21</v>
      </c>
      <c r="R410" s="67">
        <f>'[32]Flujo de Vencimientos'!P$20</f>
        <v>50719.87</v>
      </c>
      <c r="S410" s="68">
        <f>'[32]Flujo de Vencimientos'!Q$20</f>
        <v>1464.6</v>
      </c>
      <c r="T410" s="67">
        <f>'[32]Flujo de Vencimientos'!R$20</f>
        <v>50903.55</v>
      </c>
      <c r="U410" s="68">
        <f>'[32]Flujo de Vencimientos'!S$20</f>
        <v>1338.85</v>
      </c>
      <c r="V410" s="67">
        <f>'[32]Flujo de Vencimientos'!T$20</f>
        <v>51088.05</v>
      </c>
      <c r="W410" s="68">
        <f>'[32]Flujo de Vencimientos'!U$20</f>
        <v>1301.73</v>
      </c>
      <c r="X410" s="67">
        <f>'[32]Flujo de Vencimientos'!V$20</f>
        <v>51273.07</v>
      </c>
      <c r="Y410" s="68">
        <f>'[32]Flujo de Vencimientos'!W$20</f>
        <v>1180</v>
      </c>
      <c r="Z410" s="67">
        <f>'[32]Flujo de Vencimientos'!X$20</f>
        <v>51458.9</v>
      </c>
      <c r="AA410" s="68">
        <f>'[32]Flujo de Vencimientos'!Y$20</f>
        <v>1136.34</v>
      </c>
      <c r="AB410" s="73">
        <f t="shared" si="170"/>
        <v>605392.42</v>
      </c>
      <c r="AC410" s="74">
        <f t="shared" si="171"/>
        <v>18660.99</v>
      </c>
    </row>
    <row r="411" spans="1:29" ht="12.75">
      <c r="A411" s="34" t="s">
        <v>84</v>
      </c>
      <c r="B411" s="67">
        <f>'[18]Flujo Vencimientos'!B$20</f>
        <v>46132.939999999995</v>
      </c>
      <c r="C411" s="68">
        <f>'[18]Flujo Vencimientos'!C$20</f>
        <v>1880.7</v>
      </c>
      <c r="D411" s="67">
        <f>'[18]Flujo Vencimientos'!D$20</f>
        <v>46300.08</v>
      </c>
      <c r="E411" s="68">
        <f>'[18]Flujo Vencimientos'!E$20</f>
        <v>1692.18</v>
      </c>
      <c r="F411" s="67">
        <f>'[18]Flujo Vencimientos'!F$20</f>
        <v>46467.83</v>
      </c>
      <c r="G411" s="68">
        <f>'[18]Flujo Vencimientos'!G$20</f>
        <v>1736.49</v>
      </c>
      <c r="H411" s="67">
        <f>'[18]Flujo Vencimientos'!H$20</f>
        <v>46636.18</v>
      </c>
      <c r="I411" s="68">
        <f>'[18]Flujo Vencimientos'!I$20</f>
        <v>1609.88</v>
      </c>
      <c r="J411" s="67">
        <f>'[18]Flujo Vencimientos'!J$20</f>
        <v>46805.14</v>
      </c>
      <c r="K411" s="68">
        <f>'[18]Flujo Vencimientos'!K$20</f>
        <v>1590.0900000000001</v>
      </c>
      <c r="L411" s="67">
        <f>'[18]Flujo Vencimientos'!L$20</f>
        <v>46974.72</v>
      </c>
      <c r="M411" s="68">
        <f>'[18]Flujo Vencimientos'!M$20</f>
        <v>1467.16</v>
      </c>
      <c r="N411" s="83">
        <f t="shared" si="167"/>
        <v>279316.89</v>
      </c>
      <c r="O411" s="74">
        <f t="shared" si="168"/>
        <v>9976.5</v>
      </c>
      <c r="P411" s="67">
        <f>'[18]Flujo Vencimientos'!N$20</f>
        <v>47144.909999999996</v>
      </c>
      <c r="Q411" s="68">
        <f>'[18]Flujo Vencimientos'!O$20</f>
        <v>1441.48</v>
      </c>
      <c r="R411" s="67">
        <f>'[18]Flujo Vencimientos'!P$20</f>
        <v>47315.71</v>
      </c>
      <c r="S411" s="68">
        <f>'[18]Flujo Vencimientos'!Q$20</f>
        <v>1366.3</v>
      </c>
      <c r="T411" s="67">
        <f>'[18]Flujo Vencimientos'!R$20</f>
        <v>47487.14</v>
      </c>
      <c r="U411" s="68">
        <f>'[18]Flujo Vencimientos'!S$20</f>
        <v>1248.9499999999998</v>
      </c>
      <c r="V411" s="67">
        <f>'[18]Flujo Vencimientos'!T$20</f>
        <v>47659.18</v>
      </c>
      <c r="W411" s="68">
        <f>'[18]Flujo Vencimientos'!U$20</f>
        <v>1214.31</v>
      </c>
      <c r="X411" s="67">
        <f>'[18]Flujo Vencimientos'!V$20</f>
        <v>47831.85</v>
      </c>
      <c r="Y411" s="68">
        <f>'[18]Flujo Vencimientos'!W$20</f>
        <v>1100.79</v>
      </c>
      <c r="Z411" s="67">
        <f>'[18]Flujo Vencimientos'!X$20</f>
        <v>48005.15</v>
      </c>
      <c r="AA411" s="68">
        <f>'[18]Flujo Vencimientos'!Y$20</f>
        <v>1060.05</v>
      </c>
      <c r="AB411" s="73">
        <f t="shared" si="170"/>
        <v>564760.83</v>
      </c>
      <c r="AC411" s="74">
        <f t="shared" si="171"/>
        <v>17408.379999999997</v>
      </c>
    </row>
    <row r="412" spans="1:29" ht="12.75">
      <c r="A412" s="34" t="s">
        <v>105</v>
      </c>
      <c r="B412" s="67">
        <f>'[11]Flujo Vencimientos'!B$20</f>
        <v>73779.16</v>
      </c>
      <c r="C412" s="68">
        <f>'[11]Flujo Vencimientos'!C$20</f>
        <v>3007.77</v>
      </c>
      <c r="D412" s="67">
        <f>'[11]Flujo Vencimientos'!D$20</f>
        <v>74046.39</v>
      </c>
      <c r="E412" s="68">
        <f>'[11]Flujo Vencimientos'!E$20</f>
        <v>2706.25</v>
      </c>
      <c r="F412" s="67">
        <f>'[11]Flujo Vencimientos'!F$20</f>
        <v>74314.73</v>
      </c>
      <c r="G412" s="68">
        <f>'[11]Flujo Vencimientos'!G$20</f>
        <v>2777.15</v>
      </c>
      <c r="H412" s="67">
        <f>'[11]Flujo Vencimientos'!H$20</f>
        <v>74583.9</v>
      </c>
      <c r="I412" s="68">
        <f>'[11]Flujo Vencimientos'!I$20</f>
        <v>2574.69</v>
      </c>
      <c r="J412" s="67">
        <f>'[11]Flujo Vencimientos'!J$20</f>
        <v>74854.19</v>
      </c>
      <c r="K412" s="68">
        <f>'[11]Flujo Vencimientos'!K$20</f>
        <v>2543.02</v>
      </c>
      <c r="L412" s="67">
        <f>'[11]Flujo Vencimientos'!L$20</f>
        <v>75125.31</v>
      </c>
      <c r="M412" s="68">
        <f>'[11]Flujo Vencimientos'!M$20</f>
        <v>2346.41</v>
      </c>
      <c r="N412" s="73">
        <f t="shared" si="167"/>
        <v>446703.67999999993</v>
      </c>
      <c r="O412" s="84">
        <f t="shared" si="168"/>
        <v>15955.29</v>
      </c>
      <c r="P412" s="67">
        <f>'[11]Flujo Vencimientos'!N$20</f>
        <v>75397.57</v>
      </c>
      <c r="Q412" s="68">
        <f>'[11]Flujo Vencimientos'!O$20</f>
        <v>2305.27</v>
      </c>
      <c r="R412" s="67">
        <f>'[11]Flujo Vencimientos'!P$20</f>
        <v>75670.66</v>
      </c>
      <c r="S412" s="68">
        <f>'[11]Flujo Vencimientos'!Q$20</f>
        <v>2185.09</v>
      </c>
      <c r="T412" s="67">
        <f>'[11]Flujo Vencimientos'!R$20</f>
        <v>75944.89</v>
      </c>
      <c r="U412" s="68">
        <f>'[11]Flujo Vencimientos'!S$20</f>
        <v>1997.45</v>
      </c>
      <c r="V412" s="67">
        <f>'[11]Flujo Vencimientos'!T$20</f>
        <v>76219.96</v>
      </c>
      <c r="W412" s="68">
        <f>'[11]Flujo Vencimientos'!U$20</f>
        <v>1942.03</v>
      </c>
      <c r="X412" s="67">
        <f>'[11]Flujo Vencimientos'!V$20</f>
        <v>76496.18</v>
      </c>
      <c r="Y412" s="68">
        <f>'[11]Flujo Vencimientos'!W$20</f>
        <v>1760.4699999999998</v>
      </c>
      <c r="Z412" s="67">
        <f>'[11]Flujo Vencimientos'!X$20</f>
        <v>76773.25</v>
      </c>
      <c r="AA412" s="68">
        <f>'[11]Flujo Vencimientos'!Y$20</f>
        <v>1695.32</v>
      </c>
      <c r="AB412" s="73">
        <f t="shared" si="170"/>
        <v>903206.19</v>
      </c>
      <c r="AC412" s="74">
        <f t="shared" si="171"/>
        <v>27840.920000000002</v>
      </c>
    </row>
    <row r="413" spans="1:29" ht="12.75">
      <c r="A413" s="34" t="s">
        <v>4</v>
      </c>
      <c r="B413" s="67">
        <f>'[9]Flujo de Vencimientos'!B$20</f>
        <v>55319.62</v>
      </c>
      <c r="C413" s="68">
        <f>'[9]Flujo de Vencimientos'!C$20</f>
        <v>2255.2200000000003</v>
      </c>
      <c r="D413" s="67">
        <f>'[9]Flujo de Vencimientos'!D$20</f>
        <v>55520.11</v>
      </c>
      <c r="E413" s="68">
        <f>'[9]Flujo de Vencimientos'!E$20</f>
        <v>2029.15</v>
      </c>
      <c r="F413" s="67">
        <f>'[9]Flujo de Vencimientos'!F$20</f>
        <v>55721.19</v>
      </c>
      <c r="G413" s="68">
        <f>'[9]Flujo de Vencimientos'!G$20</f>
        <v>2082.3199999999997</v>
      </c>
      <c r="H413" s="67">
        <f>'[9]Flujo de Vencimientos'!H$20</f>
        <v>55923.14</v>
      </c>
      <c r="I413" s="68">
        <f>'[9]Flujo de Vencimientos'!I$20</f>
        <v>1930.5</v>
      </c>
      <c r="J413" s="67">
        <f>'[9]Flujo de Vencimientos'!J$20</f>
        <v>56125.68</v>
      </c>
      <c r="K413" s="68">
        <f>'[9]Flujo de Vencimientos'!K$20</f>
        <v>1906.72</v>
      </c>
      <c r="L413" s="67">
        <f>'[9]Flujo de Vencimientos'!L$20</f>
        <v>56329.09</v>
      </c>
      <c r="M413" s="68">
        <f>'[9]Flujo de Vencimientos'!M$20</f>
        <v>1759.29</v>
      </c>
      <c r="N413" s="73">
        <f t="shared" si="167"/>
        <v>334938.82999999996</v>
      </c>
      <c r="O413" s="84">
        <f t="shared" si="168"/>
        <v>11963.2</v>
      </c>
      <c r="P413" s="67">
        <f>'[9]Flujo de Vencimientos'!N$20</f>
        <v>56533.100000000006</v>
      </c>
      <c r="Q413" s="68">
        <f>'[9]Flujo de Vencimientos'!O$20</f>
        <v>1728.53</v>
      </c>
      <c r="R413" s="67">
        <f>'[9]Flujo de Vencimientos'!P$20</f>
        <v>56737.99</v>
      </c>
      <c r="S413" s="68">
        <f>'[9]Flujo de Vencimientos'!Q$20</f>
        <v>1638.3999999999999</v>
      </c>
      <c r="T413" s="67">
        <f>'[9]Flujo de Vencimientos'!R$20</f>
        <v>56943.48</v>
      </c>
      <c r="U413" s="68">
        <f>'[9]Flujo de Vencimientos'!S$20</f>
        <v>1497.67</v>
      </c>
      <c r="V413" s="67">
        <f>'[9]Flujo de Vencimientos'!T$20</f>
        <v>57149.86</v>
      </c>
      <c r="W413" s="68">
        <f>'[9]Flujo de Vencimientos'!U$20</f>
        <v>1456.1699999999998</v>
      </c>
      <c r="X413" s="67">
        <f>'[9]Flujo de Vencimientos'!V$20</f>
        <v>57356.840000000004</v>
      </c>
      <c r="Y413" s="68">
        <f>'[9]Flujo de Vencimientos'!W$20</f>
        <v>1320.02</v>
      </c>
      <c r="Z413" s="67">
        <f>'[9]Flujo de Vencimientos'!X$20</f>
        <v>57564.719999999994</v>
      </c>
      <c r="AA413" s="68">
        <f>'[9]Flujo de Vencimientos'!Y$20</f>
        <v>1271.1399999999999</v>
      </c>
      <c r="AB413" s="73">
        <f t="shared" si="170"/>
        <v>677224.8199999998</v>
      </c>
      <c r="AC413" s="74">
        <f t="shared" si="171"/>
        <v>20875.13</v>
      </c>
    </row>
    <row r="414" spans="1:29" ht="12.75">
      <c r="A414" s="34" t="s">
        <v>10</v>
      </c>
      <c r="B414" s="67">
        <f>'[7]Flujo vencimientos'!B$20</f>
        <v>16851.87</v>
      </c>
      <c r="C414" s="68">
        <f>'[7]Flujo vencimientos'!C$20</f>
        <v>687.03</v>
      </c>
      <c r="D414" s="67">
        <f>'[7]Flujo vencimientos'!D$20</f>
        <v>16912.85</v>
      </c>
      <c r="E414" s="68">
        <f>'[7]Flujo vencimientos'!E$20</f>
        <v>618.16</v>
      </c>
      <c r="F414" s="67">
        <f>'[7]Flujo vencimientos'!F$20</f>
        <v>16974.2</v>
      </c>
      <c r="G414" s="68">
        <f>'[7]Flujo vencimientos'!G$20</f>
        <v>634.31</v>
      </c>
      <c r="H414" s="67">
        <f>'[7]Flujo vencimientos'!H$20</f>
        <v>17035.63</v>
      </c>
      <c r="I414" s="68">
        <f>'[7]Flujo vencimientos'!I$20</f>
        <v>588.09</v>
      </c>
      <c r="J414" s="67">
        <f>'[7]Flujo vencimientos'!J$20</f>
        <v>17097.420000000002</v>
      </c>
      <c r="K414" s="68">
        <f>'[7]Flujo vencimientos'!K$20</f>
        <v>580.86</v>
      </c>
      <c r="L414" s="67">
        <f>'[7]Flujo vencimientos'!L$20</f>
        <v>17159.29</v>
      </c>
      <c r="M414" s="68">
        <f>'[7]Flujo vencimientos'!M$20</f>
        <v>535.91</v>
      </c>
      <c r="N414" s="73">
        <f t="shared" si="167"/>
        <v>102031.26000000001</v>
      </c>
      <c r="O414" s="84">
        <f t="shared" si="168"/>
        <v>3644.36</v>
      </c>
      <c r="P414" s="67">
        <f>'[7]Flujo vencimientos'!N$20</f>
        <v>17221.53</v>
      </c>
      <c r="Q414" s="68">
        <f>'[7]Flujo vencimientos'!O$20</f>
        <v>526.52</v>
      </c>
      <c r="R414" s="67">
        <f>'[7]Flujo vencimientos'!P$20</f>
        <v>17283.85</v>
      </c>
      <c r="S414" s="68">
        <f>'[7]Flujo vencimientos'!Q$20</f>
        <v>499.08000000000004</v>
      </c>
      <c r="T414" s="67">
        <f>'[7]Flujo vencimientos'!R$20</f>
        <v>17346.54</v>
      </c>
      <c r="U414" s="68">
        <f>'[7]Flujo vencimientos'!S$20</f>
        <v>456.27</v>
      </c>
      <c r="V414" s="67">
        <f>'[7]Flujo vencimientos'!T$20</f>
        <v>17409.32</v>
      </c>
      <c r="W414" s="68">
        <f>'[7]Flujo vencimientos'!U$20</f>
        <v>443.59000000000003</v>
      </c>
      <c r="X414" s="67">
        <f>'[7]Flujo vencimientos'!V$20</f>
        <v>17472.46</v>
      </c>
      <c r="Y414" s="68">
        <f>'[7]Flujo vencimientos'!W$20</f>
        <v>402.11</v>
      </c>
      <c r="Z414" s="67">
        <f>'[7]Flujo vencimientos'!X$20</f>
        <v>17535.69</v>
      </c>
      <c r="AA414" s="68">
        <f>'[7]Flujo vencimientos'!Y$20</f>
        <v>387.19</v>
      </c>
      <c r="AB414" s="73">
        <f t="shared" si="170"/>
        <v>206300.65000000002</v>
      </c>
      <c r="AC414" s="74">
        <f t="shared" si="171"/>
        <v>6359.119999999999</v>
      </c>
    </row>
    <row r="415" spans="1:29" ht="13.5" thickBot="1">
      <c r="A415" s="34" t="s">
        <v>95</v>
      </c>
      <c r="B415" s="67">
        <f>'[3]Flujo Vencimientos'!B$20</f>
        <v>205652.59</v>
      </c>
      <c r="C415" s="68">
        <f>'[3]Flujo Vencimientos'!C$20</f>
        <v>8383.84</v>
      </c>
      <c r="D415" s="67">
        <f>'[3]Flujo Vencimientos'!D$20</f>
        <v>206397.6</v>
      </c>
      <c r="E415" s="68">
        <f>'[3]Flujo Vencimientos'!E$20</f>
        <v>7543.43</v>
      </c>
      <c r="F415" s="67">
        <f>'[3]Flujo Vencimientos'!F$20</f>
        <v>207145.45</v>
      </c>
      <c r="G415" s="68">
        <f>'[3]Flujo Vencimientos'!G$20</f>
        <v>7741.01</v>
      </c>
      <c r="H415" s="67">
        <f>'[3]Flujo Vencimientos'!H$20</f>
        <v>207895.87</v>
      </c>
      <c r="I415" s="68">
        <f>'[3]Flujo Vencimientos'!I$20</f>
        <v>7176.7</v>
      </c>
      <c r="J415" s="67">
        <f>'[3]Flujo Vencimientos'!J$20</f>
        <v>208649.07</v>
      </c>
      <c r="K415" s="68">
        <f>'[3]Flujo Vencimientos'!K$20</f>
        <v>7088.33</v>
      </c>
      <c r="L415" s="67">
        <f>'[3]Flujo Vencimientos'!L$20</f>
        <v>209405.08000000002</v>
      </c>
      <c r="M415" s="68">
        <f>'[3]Flujo Vencimientos'!M$20</f>
        <v>6540.3099999999995</v>
      </c>
      <c r="N415" s="73">
        <f t="shared" si="167"/>
        <v>1245145.6600000001</v>
      </c>
      <c r="O415" s="84">
        <f t="shared" si="168"/>
        <v>44473.619999999995</v>
      </c>
      <c r="P415" s="67">
        <f>'[3]Flujo Vencimientos'!N$20</f>
        <v>210163.68</v>
      </c>
      <c r="Q415" s="68">
        <f>'[3]Flujo Vencimientos'!O$20</f>
        <v>6425.85</v>
      </c>
      <c r="R415" s="67">
        <f>'[3]Flujo Vencimientos'!P$20</f>
        <v>210925.18</v>
      </c>
      <c r="S415" s="68">
        <f>'[3]Flujo Vencimientos'!Q$20</f>
        <v>6090.83</v>
      </c>
      <c r="T415" s="67">
        <f>'[3]Flujo Vencimientos'!R$20</f>
        <v>211689.28999999998</v>
      </c>
      <c r="U415" s="68">
        <f>'[3]Flujo Vencimientos'!S$20</f>
        <v>5567.75</v>
      </c>
      <c r="V415" s="67">
        <f>'[3]Flujo Vencimientos'!T$20</f>
        <v>212456.31</v>
      </c>
      <c r="W415" s="68">
        <f>'[3]Flujo Vencimientos'!U$20</f>
        <v>5413.24</v>
      </c>
      <c r="X415" s="67">
        <f>'[3]Flujo Vencimientos'!V$20</f>
        <v>213225.97</v>
      </c>
      <c r="Y415" s="68">
        <f>'[3]Flujo Vencimientos'!W$20</f>
        <v>4907.11</v>
      </c>
      <c r="Z415" s="67">
        <f>'[3]Flujo Vencimientos'!X$20</f>
        <v>213998.56</v>
      </c>
      <c r="AA415" s="68">
        <f>'[3]Flujo Vencimientos'!Y$20</f>
        <v>4725.56</v>
      </c>
      <c r="AB415" s="73">
        <f t="shared" si="170"/>
        <v>2517604.6500000004</v>
      </c>
      <c r="AC415" s="74">
        <f t="shared" si="171"/>
        <v>77603.95999999999</v>
      </c>
    </row>
    <row r="416" spans="1:29" s="42" customFormat="1" ht="12.75" thickBot="1">
      <c r="A416" s="43" t="s">
        <v>120</v>
      </c>
      <c r="B416" s="71">
        <f aca="true" t="shared" si="172" ref="B416:M416">B403</f>
        <v>954643.45</v>
      </c>
      <c r="C416" s="72">
        <f t="shared" si="172"/>
        <v>38918.08</v>
      </c>
      <c r="D416" s="71">
        <f t="shared" si="172"/>
        <v>958101.7699999999</v>
      </c>
      <c r="E416" s="72">
        <f t="shared" si="172"/>
        <v>35016.83</v>
      </c>
      <c r="F416" s="71">
        <f t="shared" si="172"/>
        <v>961573.3299999998</v>
      </c>
      <c r="G416" s="72">
        <f t="shared" si="172"/>
        <v>35934.030000000006</v>
      </c>
      <c r="H416" s="71">
        <f t="shared" si="172"/>
        <v>965056.7500000001</v>
      </c>
      <c r="I416" s="72">
        <f t="shared" si="172"/>
        <v>33314.32</v>
      </c>
      <c r="J416" s="71">
        <f t="shared" si="172"/>
        <v>968553.4300000002</v>
      </c>
      <c r="K416" s="72">
        <f t="shared" si="172"/>
        <v>32904.310000000005</v>
      </c>
      <c r="L416" s="71">
        <f t="shared" si="172"/>
        <v>972062.29</v>
      </c>
      <c r="M416" s="72">
        <f t="shared" si="172"/>
        <v>30360.29</v>
      </c>
      <c r="N416" s="597">
        <f t="shared" si="167"/>
        <v>5779991.0200000005</v>
      </c>
      <c r="O416" s="598">
        <f t="shared" si="168"/>
        <v>206447.86000000002</v>
      </c>
      <c r="P416" s="71">
        <f>P403</f>
        <v>975584.29</v>
      </c>
      <c r="Q416" s="72">
        <f>Q403</f>
        <v>29828.86</v>
      </c>
      <c r="R416" s="71">
        <f>R403</f>
        <v>979118.6200000001</v>
      </c>
      <c r="S416" s="72">
        <f aca="true" t="shared" si="173" ref="S416:AA416">S403</f>
        <v>28273.590000000004</v>
      </c>
      <c r="T416" s="71">
        <f t="shared" si="173"/>
        <v>982666.19</v>
      </c>
      <c r="U416" s="72">
        <f t="shared" si="173"/>
        <v>25845.56</v>
      </c>
      <c r="V416" s="71">
        <f t="shared" si="173"/>
        <v>986226.1499999999</v>
      </c>
      <c r="W416" s="72">
        <f t="shared" si="173"/>
        <v>25128.579999999994</v>
      </c>
      <c r="X416" s="71">
        <f t="shared" si="173"/>
        <v>989799.4699999999</v>
      </c>
      <c r="Y416" s="72">
        <f t="shared" si="173"/>
        <v>22779.089999999997</v>
      </c>
      <c r="Z416" s="71">
        <f t="shared" si="173"/>
        <v>993385.29</v>
      </c>
      <c r="AA416" s="72">
        <f t="shared" si="173"/>
        <v>21936.14</v>
      </c>
      <c r="AB416" s="597">
        <f t="shared" si="170"/>
        <v>11686771.030000001</v>
      </c>
      <c r="AC416" s="598">
        <f t="shared" si="171"/>
        <v>360239.68000000005</v>
      </c>
    </row>
    <row r="417" spans="1:29" ht="13.5" thickBot="1">
      <c r="A417" s="42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1"/>
      <c r="AC417" s="42"/>
    </row>
    <row r="418" spans="1:29" s="42" customFormat="1" ht="12.75" thickBot="1">
      <c r="A418" s="12" t="s">
        <v>94</v>
      </c>
      <c r="B418" s="39"/>
      <c r="C418" s="39"/>
      <c r="D418" s="39"/>
      <c r="E418" s="39"/>
      <c r="F418" s="39"/>
      <c r="G418" s="39"/>
      <c r="H418" s="78" t="s">
        <v>132</v>
      </c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78" t="str">
        <f>H418</f>
        <v>EN PESOS</v>
      </c>
      <c r="W418" s="39"/>
      <c r="X418" s="39"/>
      <c r="Y418" s="39"/>
      <c r="Z418" s="39"/>
      <c r="AA418" s="39"/>
      <c r="AB418" s="39"/>
      <c r="AC418" s="38"/>
    </row>
    <row r="419" spans="1:29" ht="12.75" hidden="1">
      <c r="A419" s="33" t="s">
        <v>129</v>
      </c>
      <c r="B419" s="32">
        <f aca="true" t="shared" si="174" ref="B419:M419">SUM(B420:B420)</f>
        <v>0</v>
      </c>
      <c r="C419" s="31">
        <f t="shared" si="174"/>
        <v>0</v>
      </c>
      <c r="D419" s="32">
        <f t="shared" si="174"/>
        <v>0</v>
      </c>
      <c r="E419" s="31">
        <f t="shared" si="174"/>
        <v>0</v>
      </c>
      <c r="F419" s="32">
        <f t="shared" si="174"/>
        <v>0</v>
      </c>
      <c r="G419" s="31">
        <f t="shared" si="174"/>
        <v>0</v>
      </c>
      <c r="H419" s="32">
        <f t="shared" si="174"/>
        <v>0</v>
      </c>
      <c r="I419" s="31">
        <f t="shared" si="174"/>
        <v>0</v>
      </c>
      <c r="J419" s="32">
        <f t="shared" si="174"/>
        <v>0</v>
      </c>
      <c r="K419" s="31">
        <f t="shared" si="174"/>
        <v>0</v>
      </c>
      <c r="L419" s="32">
        <f t="shared" si="174"/>
        <v>0</v>
      </c>
      <c r="M419" s="31">
        <f t="shared" si="174"/>
        <v>0</v>
      </c>
      <c r="N419" s="32">
        <f>B419+D419+F419+H419+J419+L419</f>
        <v>0</v>
      </c>
      <c r="O419" s="31">
        <f>C419+E419+G419+I419+K419+M419</f>
        <v>0</v>
      </c>
      <c r="P419" s="32">
        <f aca="true" t="shared" si="175" ref="P419:AA419">SUM(P420:P420)</f>
        <v>0</v>
      </c>
      <c r="Q419" s="31">
        <f t="shared" si="175"/>
        <v>0</v>
      </c>
      <c r="R419" s="32">
        <f t="shared" si="175"/>
        <v>0</v>
      </c>
      <c r="S419" s="31">
        <f t="shared" si="175"/>
        <v>0</v>
      </c>
      <c r="T419" s="32">
        <f t="shared" si="175"/>
        <v>0</v>
      </c>
      <c r="U419" s="31">
        <f t="shared" si="175"/>
        <v>0</v>
      </c>
      <c r="V419" s="32">
        <f t="shared" si="175"/>
        <v>0</v>
      </c>
      <c r="W419" s="31">
        <f t="shared" si="175"/>
        <v>0</v>
      </c>
      <c r="X419" s="32">
        <f t="shared" si="175"/>
        <v>0</v>
      </c>
      <c r="Y419" s="31">
        <f t="shared" si="175"/>
        <v>0</v>
      </c>
      <c r="Z419" s="32">
        <f t="shared" si="175"/>
        <v>0</v>
      </c>
      <c r="AA419" s="31">
        <f t="shared" si="175"/>
        <v>0</v>
      </c>
      <c r="AB419" s="32">
        <f>+N419+P419+R419+T419+V419+X419+Z419</f>
        <v>0</v>
      </c>
      <c r="AC419" s="31">
        <f>O419+Q419+S419+U419+W419+Y419+AA419</f>
        <v>0</v>
      </c>
    </row>
    <row r="420" spans="1:29" ht="12.75" hidden="1">
      <c r="A420" s="34" t="s">
        <v>21</v>
      </c>
      <c r="B420" s="81"/>
      <c r="C420" s="82"/>
      <c r="D420" s="81"/>
      <c r="E420" s="82"/>
      <c r="F420" s="81"/>
      <c r="G420" s="82"/>
      <c r="H420" s="81"/>
      <c r="I420" s="82"/>
      <c r="J420" s="81"/>
      <c r="K420" s="82"/>
      <c r="L420" s="81"/>
      <c r="M420" s="82"/>
      <c r="N420" s="51">
        <f>B420+D420+F420+H420+J420+L420</f>
        <v>0</v>
      </c>
      <c r="O420" s="50">
        <f>C420+E420+G420+I420+K420+M420</f>
        <v>0</v>
      </c>
      <c r="P420" s="81"/>
      <c r="Q420" s="82"/>
      <c r="R420" s="81"/>
      <c r="S420" s="82"/>
      <c r="T420" s="81"/>
      <c r="U420" s="82"/>
      <c r="V420" s="81"/>
      <c r="W420" s="82"/>
      <c r="X420" s="81"/>
      <c r="Y420" s="82"/>
      <c r="Z420" s="81"/>
      <c r="AA420" s="82"/>
      <c r="AB420" s="51">
        <f>+N420+P420+R420+T420+V420+X420+Z420</f>
        <v>0</v>
      </c>
      <c r="AC420" s="50">
        <f>O420+Q420+S420+U420+W420+Y420+AA420</f>
        <v>0</v>
      </c>
    </row>
    <row r="421" spans="1:29" ht="12.75">
      <c r="A421" s="134" t="s">
        <v>130</v>
      </c>
      <c r="B421" s="32">
        <f aca="true" t="shared" si="176" ref="B421:AC421">SUM(B422:B424)</f>
        <v>50262.6</v>
      </c>
      <c r="C421" s="31">
        <f t="shared" si="176"/>
        <v>39308.96</v>
      </c>
      <c r="D421" s="32">
        <f t="shared" si="176"/>
        <v>50262.6</v>
      </c>
      <c r="E421" s="31">
        <f t="shared" si="176"/>
        <v>36533.29</v>
      </c>
      <c r="F421" s="32">
        <f t="shared" si="176"/>
        <v>50262.6</v>
      </c>
      <c r="G421" s="31">
        <f t="shared" si="176"/>
        <v>38796.7</v>
      </c>
      <c r="H421" s="32">
        <f t="shared" si="176"/>
        <v>50262.6</v>
      </c>
      <c r="I421" s="31">
        <f t="shared" si="176"/>
        <v>37297.32</v>
      </c>
      <c r="J421" s="32">
        <f t="shared" si="176"/>
        <v>50262.6</v>
      </c>
      <c r="K421" s="31">
        <f t="shared" si="176"/>
        <v>38284.43</v>
      </c>
      <c r="L421" s="32">
        <f t="shared" si="176"/>
        <v>50262.6</v>
      </c>
      <c r="M421" s="31">
        <f t="shared" si="176"/>
        <v>36801.58</v>
      </c>
      <c r="N421" s="32">
        <f t="shared" si="176"/>
        <v>301575.6</v>
      </c>
      <c r="O421" s="31">
        <f t="shared" si="176"/>
        <v>227022.27999999997</v>
      </c>
      <c r="P421" s="32">
        <f t="shared" si="176"/>
        <v>50262.6</v>
      </c>
      <c r="Q421" s="31">
        <f t="shared" si="176"/>
        <v>37772.17</v>
      </c>
      <c r="R421" s="32">
        <f t="shared" si="176"/>
        <v>50262.6</v>
      </c>
      <c r="S421" s="31">
        <f t="shared" si="176"/>
        <v>37516.03</v>
      </c>
      <c r="T421" s="32">
        <f t="shared" si="176"/>
        <v>50262.6</v>
      </c>
      <c r="U421" s="31">
        <f t="shared" si="176"/>
        <v>36057.97</v>
      </c>
      <c r="V421" s="32">
        <f t="shared" si="176"/>
        <v>50262.6</v>
      </c>
      <c r="W421" s="31">
        <f t="shared" si="176"/>
        <v>37003.77</v>
      </c>
      <c r="X421" s="32">
        <f t="shared" si="176"/>
        <v>50262.6</v>
      </c>
      <c r="Y421" s="31">
        <f t="shared" si="176"/>
        <v>35562.23</v>
      </c>
      <c r="Z421" s="32">
        <f t="shared" si="176"/>
        <v>50262.6</v>
      </c>
      <c r="AA421" s="31">
        <f t="shared" si="176"/>
        <v>36491.5</v>
      </c>
      <c r="AB421" s="32">
        <f t="shared" si="176"/>
        <v>603151.1999999998</v>
      </c>
      <c r="AC421" s="31">
        <f t="shared" si="176"/>
        <v>447425.94999999995</v>
      </c>
    </row>
    <row r="422" spans="1:29" ht="13.5" thickBot="1">
      <c r="A422" s="5" t="s">
        <v>22</v>
      </c>
      <c r="B422" s="545">
        <f>'[68]Flujo vencimientos'!B$20</f>
        <v>50262.6</v>
      </c>
      <c r="C422" s="546">
        <f>'[68]Flujo vencimientos'!C$20</f>
        <v>39308.96</v>
      </c>
      <c r="D422" s="545">
        <f>'[68]Flujo vencimientos'!D$20</f>
        <v>50262.6</v>
      </c>
      <c r="E422" s="546">
        <f>'[68]Flujo vencimientos'!E$20</f>
        <v>36533.29</v>
      </c>
      <c r="F422" s="545">
        <f>'[68]Flujo vencimientos'!F$20</f>
        <v>50262.6</v>
      </c>
      <c r="G422" s="546">
        <f>'[68]Flujo vencimientos'!G$20</f>
        <v>38796.7</v>
      </c>
      <c r="H422" s="545">
        <f>'[68]Flujo vencimientos'!H$20</f>
        <v>50262.6</v>
      </c>
      <c r="I422" s="546">
        <f>'[68]Flujo vencimientos'!I$20</f>
        <v>37297.32</v>
      </c>
      <c r="J422" s="545">
        <f>'[68]Flujo vencimientos'!J$20</f>
        <v>50262.6</v>
      </c>
      <c r="K422" s="546">
        <f>'[68]Flujo vencimientos'!K$20</f>
        <v>38284.43</v>
      </c>
      <c r="L422" s="545">
        <f>'[68]Flujo vencimientos'!L$20</f>
        <v>50262.6</v>
      </c>
      <c r="M422" s="546">
        <f>'[68]Flujo vencimientos'!M$20</f>
        <v>36801.58</v>
      </c>
      <c r="N422" s="547">
        <f aca="true" t="shared" si="177" ref="N422:O424">B422+D422+F422+H422+J422+L422</f>
        <v>301575.6</v>
      </c>
      <c r="O422" s="84">
        <f t="shared" si="177"/>
        <v>227022.27999999997</v>
      </c>
      <c r="P422" s="545">
        <f>'[68]Flujo vencimientos'!N$20</f>
        <v>50262.6</v>
      </c>
      <c r="Q422" s="546">
        <f>'[68]Flujo vencimientos'!O$20</f>
        <v>37772.17</v>
      </c>
      <c r="R422" s="545">
        <f>'[68]Flujo vencimientos'!P$20</f>
        <v>50262.6</v>
      </c>
      <c r="S422" s="546">
        <f>'[68]Flujo vencimientos'!Q$20</f>
        <v>37516.03</v>
      </c>
      <c r="T422" s="545">
        <f>'[68]Flujo vencimientos'!R$20</f>
        <v>50262.6</v>
      </c>
      <c r="U422" s="546">
        <f>'[68]Flujo vencimientos'!S$20</f>
        <v>36057.97</v>
      </c>
      <c r="V422" s="545">
        <f>'[68]Flujo vencimientos'!T$20</f>
        <v>50262.6</v>
      </c>
      <c r="W422" s="546">
        <f>'[68]Flujo vencimientos'!U$20</f>
        <v>37003.77</v>
      </c>
      <c r="X422" s="545">
        <f>'[68]Flujo vencimientos'!V$20</f>
        <v>50262.6</v>
      </c>
      <c r="Y422" s="546">
        <f>'[68]Flujo vencimientos'!W$20</f>
        <v>35562.23</v>
      </c>
      <c r="Z422" s="545">
        <f>'[68]Flujo vencimientos'!X$20</f>
        <v>50262.6</v>
      </c>
      <c r="AA422" s="546">
        <f>'[68]Flujo vencimientos'!Y$20</f>
        <v>36491.5</v>
      </c>
      <c r="AB422" s="547">
        <f aca="true" t="shared" si="178" ref="AB422:AB427">+N422+P422+R422+T422+V422+X422+Z422</f>
        <v>603151.1999999998</v>
      </c>
      <c r="AC422" s="84">
        <f aca="true" t="shared" si="179" ref="AC422:AC427">O422+Q422+S422+U422+W422+Y422+AA422</f>
        <v>447425.94999999995</v>
      </c>
    </row>
    <row r="423" spans="1:29" ht="13.5" hidden="1" thickBot="1">
      <c r="A423" s="5" t="s">
        <v>8</v>
      </c>
      <c r="B423" s="545"/>
      <c r="C423" s="546"/>
      <c r="D423" s="545"/>
      <c r="E423" s="546"/>
      <c r="F423" s="545"/>
      <c r="G423" s="546"/>
      <c r="H423" s="545"/>
      <c r="I423" s="546"/>
      <c r="J423" s="545"/>
      <c r="K423" s="546"/>
      <c r="L423" s="545"/>
      <c r="M423" s="546"/>
      <c r="N423" s="547">
        <f t="shared" si="177"/>
        <v>0</v>
      </c>
      <c r="O423" s="84">
        <f t="shared" si="177"/>
        <v>0</v>
      </c>
      <c r="P423" s="545"/>
      <c r="Q423" s="546"/>
      <c r="R423" s="545"/>
      <c r="S423" s="546"/>
      <c r="T423" s="545"/>
      <c r="U423" s="546"/>
      <c r="V423" s="545"/>
      <c r="W423" s="546"/>
      <c r="X423" s="545"/>
      <c r="Y423" s="546"/>
      <c r="Z423" s="545"/>
      <c r="AA423" s="546"/>
      <c r="AB423" s="547">
        <f t="shared" si="178"/>
        <v>0</v>
      </c>
      <c r="AC423" s="84">
        <f t="shared" si="179"/>
        <v>0</v>
      </c>
    </row>
    <row r="424" spans="1:29" ht="13.5" hidden="1" thickBot="1">
      <c r="A424" s="5" t="s">
        <v>11</v>
      </c>
      <c r="B424" s="545"/>
      <c r="C424" s="546"/>
      <c r="D424" s="545"/>
      <c r="E424" s="546"/>
      <c r="F424" s="545"/>
      <c r="G424" s="546"/>
      <c r="H424" s="545"/>
      <c r="I424" s="546"/>
      <c r="J424" s="545"/>
      <c r="K424" s="546"/>
      <c r="L424" s="545"/>
      <c r="M424" s="546"/>
      <c r="N424" s="547">
        <f t="shared" si="177"/>
        <v>0</v>
      </c>
      <c r="O424" s="84">
        <f t="shared" si="177"/>
        <v>0</v>
      </c>
      <c r="P424" s="545"/>
      <c r="Q424" s="546"/>
      <c r="R424" s="545"/>
      <c r="S424" s="546"/>
      <c r="T424" s="545"/>
      <c r="U424" s="546"/>
      <c r="V424" s="545"/>
      <c r="W424" s="546"/>
      <c r="X424" s="545"/>
      <c r="Y424" s="546"/>
      <c r="Z424" s="545"/>
      <c r="AA424" s="546"/>
      <c r="AB424" s="547">
        <f t="shared" si="178"/>
        <v>0</v>
      </c>
      <c r="AC424" s="84">
        <f t="shared" si="179"/>
        <v>0</v>
      </c>
    </row>
    <row r="425" spans="1:29" s="1" customFormat="1" ht="12.75" thickBot="1">
      <c r="A425" s="296" t="s">
        <v>179</v>
      </c>
      <c r="B425" s="297">
        <f aca="true" t="shared" si="180" ref="B425:M425">SUM(B426:B426)</f>
        <v>9836</v>
      </c>
      <c r="C425" s="298">
        <f t="shared" si="180"/>
        <v>0</v>
      </c>
      <c r="D425" s="297">
        <f t="shared" si="180"/>
        <v>9836</v>
      </c>
      <c r="E425" s="298">
        <f t="shared" si="180"/>
        <v>0</v>
      </c>
      <c r="F425" s="297">
        <f t="shared" si="180"/>
        <v>9836</v>
      </c>
      <c r="G425" s="298">
        <f t="shared" si="180"/>
        <v>0</v>
      </c>
      <c r="H425" s="297">
        <f t="shared" si="180"/>
        <v>9836</v>
      </c>
      <c r="I425" s="298">
        <f t="shared" si="180"/>
        <v>0</v>
      </c>
      <c r="J425" s="297">
        <f t="shared" si="180"/>
        <v>9836</v>
      </c>
      <c r="K425" s="298">
        <f t="shared" si="180"/>
        <v>0</v>
      </c>
      <c r="L425" s="297">
        <f t="shared" si="180"/>
        <v>9836</v>
      </c>
      <c r="M425" s="298">
        <f t="shared" si="180"/>
        <v>0</v>
      </c>
      <c r="N425" s="297">
        <f aca="true" t="shared" si="181" ref="N425:O427">B425+D425+F425+H425+J425+L425</f>
        <v>59016</v>
      </c>
      <c r="O425" s="298">
        <f t="shared" si="181"/>
        <v>0</v>
      </c>
      <c r="P425" s="297">
        <f aca="true" t="shared" si="182" ref="P425:AA425">SUM(P426:P426)</f>
        <v>9836</v>
      </c>
      <c r="Q425" s="298">
        <f t="shared" si="182"/>
        <v>0</v>
      </c>
      <c r="R425" s="297">
        <f t="shared" si="182"/>
        <v>9836</v>
      </c>
      <c r="S425" s="298">
        <f t="shared" si="182"/>
        <v>0</v>
      </c>
      <c r="T425" s="297">
        <f t="shared" si="182"/>
        <v>9836</v>
      </c>
      <c r="U425" s="298">
        <f t="shared" si="182"/>
        <v>0</v>
      </c>
      <c r="V425" s="297">
        <f t="shared" si="182"/>
        <v>9836</v>
      </c>
      <c r="W425" s="298">
        <f t="shared" si="182"/>
        <v>0</v>
      </c>
      <c r="X425" s="297">
        <f t="shared" si="182"/>
        <v>9836</v>
      </c>
      <c r="Y425" s="298">
        <f t="shared" si="182"/>
        <v>0</v>
      </c>
      <c r="Z425" s="297">
        <f t="shared" si="182"/>
        <v>9836</v>
      </c>
      <c r="AA425" s="298">
        <f t="shared" si="182"/>
        <v>0</v>
      </c>
      <c r="AB425" s="297">
        <f t="shared" si="178"/>
        <v>118032</v>
      </c>
      <c r="AC425" s="298">
        <f t="shared" si="179"/>
        <v>0</v>
      </c>
    </row>
    <row r="426" spans="1:29" s="1" customFormat="1" ht="12.75" thickBot="1">
      <c r="A426" s="168" t="str">
        <f>A395</f>
        <v>Tupungato (DAABO)</v>
      </c>
      <c r="B426" s="291">
        <f>'[1]Flujos Vencimientos'!B$20</f>
        <v>9836</v>
      </c>
      <c r="C426" s="292"/>
      <c r="D426" s="291">
        <f>'[1]Flujos Vencimientos'!D$20</f>
        <v>9836</v>
      </c>
      <c r="E426" s="292"/>
      <c r="F426" s="291">
        <f>'[1]Flujos Vencimientos'!F$20</f>
        <v>9836</v>
      </c>
      <c r="G426" s="292"/>
      <c r="H426" s="291">
        <f>'[1]Flujos Vencimientos'!H$20</f>
        <v>9836</v>
      </c>
      <c r="I426" s="292"/>
      <c r="J426" s="291">
        <f>'[1]Flujos Vencimientos'!J$20</f>
        <v>9836</v>
      </c>
      <c r="K426" s="292"/>
      <c r="L426" s="291">
        <f>'[1]Flujos Vencimientos'!L$20</f>
        <v>9836</v>
      </c>
      <c r="M426" s="292"/>
      <c r="N426" s="51">
        <f t="shared" si="181"/>
        <v>59016</v>
      </c>
      <c r="O426" s="50">
        <f t="shared" si="181"/>
        <v>0</v>
      </c>
      <c r="P426" s="291">
        <f>'[1]Flujos Vencimientos'!N$20</f>
        <v>9836</v>
      </c>
      <c r="Q426" s="292"/>
      <c r="R426" s="291">
        <f>'[1]Flujos Vencimientos'!P$20</f>
        <v>9836</v>
      </c>
      <c r="S426" s="292"/>
      <c r="T426" s="291">
        <f>'[1]Flujos Vencimientos'!R$20</f>
        <v>9836</v>
      </c>
      <c r="U426" s="292"/>
      <c r="V426" s="291">
        <f>'[1]Flujos Vencimientos'!T$20</f>
        <v>9836</v>
      </c>
      <c r="W426" s="292"/>
      <c r="X426" s="291">
        <f>'[1]Flujos Vencimientos'!V$20</f>
        <v>9836</v>
      </c>
      <c r="Y426" s="292"/>
      <c r="Z426" s="291">
        <f>'[1]Flujos Vencimientos'!X$20</f>
        <v>9836</v>
      </c>
      <c r="AA426" s="292"/>
      <c r="AB426" s="51">
        <f t="shared" si="178"/>
        <v>118032</v>
      </c>
      <c r="AC426" s="50">
        <f t="shared" si="179"/>
        <v>0</v>
      </c>
    </row>
    <row r="427" spans="1:29" s="42" customFormat="1" ht="12.75" thickBot="1">
      <c r="A427" s="30" t="s">
        <v>121</v>
      </c>
      <c r="B427" s="28">
        <f>B419+B421+B425</f>
        <v>60098.6</v>
      </c>
      <c r="C427" s="27">
        <f>C419+C421+C425</f>
        <v>39308.96</v>
      </c>
      <c r="D427" s="28">
        <f aca="true" t="shared" si="183" ref="D427:M427">D419+D421+D425</f>
        <v>60098.6</v>
      </c>
      <c r="E427" s="27">
        <f t="shared" si="183"/>
        <v>36533.29</v>
      </c>
      <c r="F427" s="28">
        <f t="shared" si="183"/>
        <v>60098.6</v>
      </c>
      <c r="G427" s="27">
        <f t="shared" si="183"/>
        <v>38796.7</v>
      </c>
      <c r="H427" s="28">
        <f t="shared" si="183"/>
        <v>60098.6</v>
      </c>
      <c r="I427" s="27">
        <f t="shared" si="183"/>
        <v>37297.32</v>
      </c>
      <c r="J427" s="28">
        <f t="shared" si="183"/>
        <v>60098.6</v>
      </c>
      <c r="K427" s="27">
        <f t="shared" si="183"/>
        <v>38284.43</v>
      </c>
      <c r="L427" s="28">
        <f t="shared" si="183"/>
        <v>60098.6</v>
      </c>
      <c r="M427" s="27">
        <f t="shared" si="183"/>
        <v>36801.58</v>
      </c>
      <c r="N427" s="28">
        <f t="shared" si="181"/>
        <v>360591.6</v>
      </c>
      <c r="O427" s="27">
        <f t="shared" si="181"/>
        <v>227022.27999999997</v>
      </c>
      <c r="P427" s="28">
        <f aca="true" t="shared" si="184" ref="P427:AA427">P419+P421+P425</f>
        <v>60098.6</v>
      </c>
      <c r="Q427" s="27">
        <f t="shared" si="184"/>
        <v>37772.17</v>
      </c>
      <c r="R427" s="28">
        <f t="shared" si="184"/>
        <v>60098.6</v>
      </c>
      <c r="S427" s="27">
        <f t="shared" si="184"/>
        <v>37516.03</v>
      </c>
      <c r="T427" s="28">
        <f t="shared" si="184"/>
        <v>60098.6</v>
      </c>
      <c r="U427" s="27">
        <f t="shared" si="184"/>
        <v>36057.97</v>
      </c>
      <c r="V427" s="28">
        <f t="shared" si="184"/>
        <v>60098.6</v>
      </c>
      <c r="W427" s="27">
        <f t="shared" si="184"/>
        <v>37003.77</v>
      </c>
      <c r="X427" s="28">
        <f t="shared" si="184"/>
        <v>60098.6</v>
      </c>
      <c r="Y427" s="27">
        <f t="shared" si="184"/>
        <v>35562.23</v>
      </c>
      <c r="Z427" s="28">
        <f t="shared" si="184"/>
        <v>60098.6</v>
      </c>
      <c r="AA427" s="27">
        <f t="shared" si="184"/>
        <v>36491.5</v>
      </c>
      <c r="AB427" s="28">
        <f t="shared" si="178"/>
        <v>721183.1999999998</v>
      </c>
      <c r="AC427" s="27">
        <f t="shared" si="179"/>
        <v>447425.94999999995</v>
      </c>
    </row>
    <row r="428" spans="1:29" s="295" customFormat="1" ht="12.75" thickBot="1">
      <c r="A428" s="293"/>
      <c r="B428" s="294"/>
      <c r="C428" s="294"/>
      <c r="D428" s="294"/>
      <c r="E428" s="294"/>
      <c r="F428" s="294"/>
      <c r="G428" s="294"/>
      <c r="H428" s="294"/>
      <c r="I428" s="294"/>
      <c r="J428" s="294"/>
      <c r="K428" s="294"/>
      <c r="L428" s="294"/>
      <c r="M428" s="294"/>
      <c r="N428" s="294"/>
      <c r="O428" s="294"/>
      <c r="P428" s="294"/>
      <c r="Q428" s="294"/>
      <c r="R428" s="294"/>
      <c r="S428" s="294"/>
      <c r="T428" s="294"/>
      <c r="U428" s="294"/>
      <c r="V428" s="294"/>
      <c r="W428" s="294"/>
      <c r="X428" s="294"/>
      <c r="Y428" s="294"/>
      <c r="Z428" s="294"/>
      <c r="AA428" s="294"/>
      <c r="AB428" s="294"/>
      <c r="AC428" s="294"/>
    </row>
    <row r="429" spans="1:29" ht="15.75" thickBot="1">
      <c r="A429" s="87" t="s">
        <v>93</v>
      </c>
      <c r="B429" s="28">
        <f>+B416+B427</f>
        <v>1014742.0499999999</v>
      </c>
      <c r="C429" s="27">
        <f aca="true" t="shared" si="185" ref="C429:M429">+C416+C427</f>
        <v>78227.04000000001</v>
      </c>
      <c r="D429" s="28">
        <f t="shared" si="185"/>
        <v>1018200.3699999999</v>
      </c>
      <c r="E429" s="27">
        <f t="shared" si="185"/>
        <v>71550.12</v>
      </c>
      <c r="F429" s="28">
        <f t="shared" si="185"/>
        <v>1021671.9299999998</v>
      </c>
      <c r="G429" s="27">
        <f t="shared" si="185"/>
        <v>74730.73000000001</v>
      </c>
      <c r="H429" s="28">
        <f t="shared" si="185"/>
        <v>1025155.3500000001</v>
      </c>
      <c r="I429" s="27">
        <f t="shared" si="185"/>
        <v>70611.64</v>
      </c>
      <c r="J429" s="28">
        <f t="shared" si="185"/>
        <v>1028652.0300000001</v>
      </c>
      <c r="K429" s="27">
        <f t="shared" si="185"/>
        <v>71188.74</v>
      </c>
      <c r="L429" s="28">
        <f t="shared" si="185"/>
        <v>1032160.89</v>
      </c>
      <c r="M429" s="27">
        <f t="shared" si="185"/>
        <v>67161.87</v>
      </c>
      <c r="N429" s="28">
        <f>B429+D429+F429+H429+J429+L429</f>
        <v>6140582.619999999</v>
      </c>
      <c r="O429" s="27">
        <f>C429+E429+G429+I429+K429+M429</f>
        <v>433470.14</v>
      </c>
      <c r="P429" s="28">
        <f aca="true" t="shared" si="186" ref="P429:AA429">+P416+P427</f>
        <v>1035682.89</v>
      </c>
      <c r="Q429" s="27">
        <f t="shared" si="186"/>
        <v>67601.03</v>
      </c>
      <c r="R429" s="28">
        <f t="shared" si="186"/>
        <v>1039217.2200000001</v>
      </c>
      <c r="S429" s="27">
        <f t="shared" si="186"/>
        <v>65789.62</v>
      </c>
      <c r="T429" s="28">
        <f t="shared" si="186"/>
        <v>1042764.7899999999</v>
      </c>
      <c r="U429" s="27">
        <f t="shared" si="186"/>
        <v>61903.53</v>
      </c>
      <c r="V429" s="28">
        <f t="shared" si="186"/>
        <v>1046324.7499999999</v>
      </c>
      <c r="W429" s="27">
        <f t="shared" si="186"/>
        <v>62132.34999999999</v>
      </c>
      <c r="X429" s="28">
        <f t="shared" si="186"/>
        <v>1049898.0699999998</v>
      </c>
      <c r="Y429" s="27">
        <f t="shared" si="186"/>
        <v>58341.32</v>
      </c>
      <c r="Z429" s="28">
        <f t="shared" si="186"/>
        <v>1053483.8900000001</v>
      </c>
      <c r="AA429" s="27">
        <f t="shared" si="186"/>
        <v>58427.64</v>
      </c>
      <c r="AB429" s="28">
        <f>+N429+P429+R429+T429+V429+X429+Z429</f>
        <v>12407954.229999999</v>
      </c>
      <c r="AC429" s="27">
        <f>O429+Q429+S429+U429+W429+Y429+AA429</f>
        <v>807665.63</v>
      </c>
    </row>
    <row r="432" spans="1:30" ht="27" thickBot="1">
      <c r="A432" s="21"/>
      <c r="B432" s="21"/>
      <c r="C432" s="21"/>
      <c r="D432" s="21"/>
      <c r="E432" s="21"/>
      <c r="F432" s="21"/>
      <c r="G432" s="21"/>
      <c r="H432" s="22" t="s">
        <v>143</v>
      </c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2" t="str">
        <f>H432</f>
        <v>AÑO 2021</v>
      </c>
      <c r="W432" s="21"/>
      <c r="X432" s="21"/>
      <c r="Y432" s="21"/>
      <c r="Z432" s="21"/>
      <c r="AA432" s="21"/>
      <c r="AB432" s="755"/>
      <c r="AC432" s="755"/>
      <c r="AD432" s="16" t="str">
        <f>V432</f>
        <v>AÑO 2021</v>
      </c>
    </row>
    <row r="433" spans="1:29" s="42" customFormat="1" ht="12.75" thickBot="1">
      <c r="A433" s="45" t="s">
        <v>96</v>
      </c>
      <c r="B433" s="44"/>
      <c r="C433" s="44"/>
      <c r="D433" s="44"/>
      <c r="E433" s="44"/>
      <c r="F433" s="44"/>
      <c r="G433" s="44"/>
      <c r="H433" s="44" t="s">
        <v>144</v>
      </c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 t="str">
        <f>H433</f>
        <v>TOMADOS EN DOLARES</v>
      </c>
      <c r="W433" s="44"/>
      <c r="X433" s="44"/>
      <c r="Y433" s="44"/>
      <c r="Z433" s="44"/>
      <c r="AA433" s="44"/>
      <c r="AB433" s="44"/>
      <c r="AC433" s="52"/>
    </row>
    <row r="434" spans="1:29" ht="12.75">
      <c r="A434" s="75" t="s">
        <v>122</v>
      </c>
      <c r="B434" s="69">
        <f>SUM(B435:B446)</f>
        <v>996984.55</v>
      </c>
      <c r="C434" s="70">
        <f>SUM(C435:C446)</f>
        <v>20322.05</v>
      </c>
      <c r="D434" s="69">
        <f aca="true" t="shared" si="187" ref="D434:M434">SUM(D435:D446)</f>
        <v>1000596.4099999998</v>
      </c>
      <c r="E434" s="70">
        <f t="shared" si="187"/>
        <v>16886.81</v>
      </c>
      <c r="F434" s="69">
        <f t="shared" si="187"/>
        <v>1004221.79</v>
      </c>
      <c r="G434" s="70">
        <f t="shared" si="187"/>
        <v>17058.059999999998</v>
      </c>
      <c r="H434" s="69">
        <f t="shared" si="187"/>
        <v>1007859.8699999999</v>
      </c>
      <c r="I434" s="70">
        <f t="shared" si="187"/>
        <v>14910.809999999998</v>
      </c>
      <c r="J434" s="69">
        <f t="shared" si="187"/>
        <v>1011511.55</v>
      </c>
      <c r="K434" s="70">
        <f t="shared" si="187"/>
        <v>13745.689999999999</v>
      </c>
      <c r="L434" s="69">
        <f t="shared" si="187"/>
        <v>1015176.0399999998</v>
      </c>
      <c r="M434" s="70">
        <f t="shared" si="187"/>
        <v>11681.519999999999</v>
      </c>
      <c r="N434" s="69">
        <f aca="true" t="shared" si="188" ref="N434:N447">B434+D434+F434+H434+J434+L434</f>
        <v>6036350.21</v>
      </c>
      <c r="O434" s="70">
        <f aca="true" t="shared" si="189" ref="O434:O447">C434+E434+G434+I434+K434+M434</f>
        <v>94604.94</v>
      </c>
      <c r="P434" s="69">
        <f aca="true" t="shared" si="190" ref="P434:AA434">SUM(P435:P446)</f>
        <v>1018854.3400000001</v>
      </c>
      <c r="Q434" s="70">
        <f t="shared" si="190"/>
        <v>10383.85</v>
      </c>
      <c r="R434" s="69">
        <f t="shared" si="190"/>
        <v>1022545.3299999998</v>
      </c>
      <c r="S434" s="70">
        <f t="shared" si="190"/>
        <v>8684.65</v>
      </c>
      <c r="T434" s="69">
        <f t="shared" si="190"/>
        <v>1026250.3</v>
      </c>
      <c r="U434" s="70">
        <f t="shared" si="190"/>
        <v>6747.959999999999</v>
      </c>
      <c r="V434" s="69">
        <f t="shared" si="190"/>
        <v>1029968.1299999999</v>
      </c>
      <c r="W434" s="70">
        <f t="shared" si="190"/>
        <v>5248.5599999999995</v>
      </c>
      <c r="X434" s="69">
        <f t="shared" si="190"/>
        <v>1033700.0000000002</v>
      </c>
      <c r="Y434" s="70">
        <f t="shared" si="190"/>
        <v>3398.4299999999994</v>
      </c>
      <c r="Z434" s="69">
        <f t="shared" si="190"/>
        <v>1037444.78</v>
      </c>
      <c r="AA434" s="70">
        <f t="shared" si="190"/>
        <v>1762.2600000000002</v>
      </c>
      <c r="AB434" s="69">
        <f aca="true" t="shared" si="191" ref="AB434:AB447">+N434+P434+R434+T434+V434+X434+Z434</f>
        <v>12205113.089999998</v>
      </c>
      <c r="AC434" s="70">
        <f aca="true" t="shared" si="192" ref="AC434:AC447">O434+Q434+S434+U434+W434+Y434+AA434</f>
        <v>130830.64999999998</v>
      </c>
    </row>
    <row r="435" spans="1:29" ht="12.75">
      <c r="A435" s="34" t="s">
        <v>1</v>
      </c>
      <c r="B435" s="67">
        <f>'[24]Flujo Vencimientos'!B$21</f>
        <v>107571.93000000001</v>
      </c>
      <c r="C435" s="68">
        <f>'[24]Flujo Vencimientos'!C$21</f>
        <v>2192.69</v>
      </c>
      <c r="D435" s="67">
        <f>'[24]Flujo Vencimientos'!D$21</f>
        <v>107961.59000000001</v>
      </c>
      <c r="E435" s="68">
        <f>'[24]Flujo Vencimientos'!E$21</f>
        <v>1822.03</v>
      </c>
      <c r="F435" s="67">
        <f>'[24]Flujo Vencimientos'!F$21</f>
        <v>108352.81</v>
      </c>
      <c r="G435" s="68">
        <f>'[24]Flujo Vencimientos'!G$21</f>
        <v>1840.52</v>
      </c>
      <c r="H435" s="67">
        <f>'[24]Flujo Vencimientos'!H$21</f>
        <v>108745.3</v>
      </c>
      <c r="I435" s="68">
        <f>'[24]Flujo Vencimientos'!I$21</f>
        <v>1608.86</v>
      </c>
      <c r="J435" s="67">
        <f>'[24]Flujo Vencimientos'!J$21</f>
        <v>109139.36</v>
      </c>
      <c r="K435" s="68">
        <f>'[24]Flujo Vencimientos'!K$21</f>
        <v>1483.1200000000001</v>
      </c>
      <c r="L435" s="67">
        <f>'[24]Flujo Vencimientos'!L$21</f>
        <v>109534.69</v>
      </c>
      <c r="M435" s="68">
        <f>'[24]Flujo Vencimientos'!M$21</f>
        <v>1260.38</v>
      </c>
      <c r="N435" s="73">
        <f t="shared" si="188"/>
        <v>651305.6799999999</v>
      </c>
      <c r="O435" s="74">
        <f t="shared" si="189"/>
        <v>10207.599999999999</v>
      </c>
      <c r="P435" s="67">
        <f>'[24]Flujo Vencimientos'!N$21</f>
        <v>109931.62</v>
      </c>
      <c r="Q435" s="68">
        <f>'[24]Flujo Vencimientos'!O$21</f>
        <v>1120.43</v>
      </c>
      <c r="R435" s="67">
        <f>'[24]Flujo Vencimientos'!P$21</f>
        <v>110329.82</v>
      </c>
      <c r="S435" s="68">
        <f>'[24]Flujo Vencimientos'!Q$21</f>
        <v>937.01</v>
      </c>
      <c r="T435" s="67">
        <f>'[24]Flujo Vencimientos'!R$21</f>
        <v>110729.62</v>
      </c>
      <c r="U435" s="68">
        <f>'[24]Flujo Vencimientos'!S$21</f>
        <v>728.1099999999999</v>
      </c>
      <c r="V435" s="67">
        <f>'[24]Flujo Vencimientos'!T$21</f>
        <v>111130.72</v>
      </c>
      <c r="W435" s="68">
        <f>'[24]Flujo Vencimientos'!U$21</f>
        <v>566.29</v>
      </c>
      <c r="X435" s="67">
        <f>'[24]Flujo Vencimientos'!V$21</f>
        <v>111533.42</v>
      </c>
      <c r="Y435" s="68">
        <f>'[24]Flujo Vencimientos'!W$21</f>
        <v>366.65999999999997</v>
      </c>
      <c r="Z435" s="67">
        <f>'[24]Flujo Vencimientos'!X$21</f>
        <v>111937.43000000001</v>
      </c>
      <c r="AA435" s="68">
        <f>'[24]Flujo Vencimientos'!Y$21</f>
        <v>190.13</v>
      </c>
      <c r="AB435" s="73">
        <f t="shared" si="191"/>
        <v>1316898.3099999998</v>
      </c>
      <c r="AC435" s="74">
        <f t="shared" si="192"/>
        <v>14116.229999999998</v>
      </c>
    </row>
    <row r="436" spans="1:29" ht="12.75">
      <c r="A436" s="34" t="s">
        <v>21</v>
      </c>
      <c r="B436" s="67">
        <f>'[26]Flujo de Vencimientos'!B$21</f>
        <v>65105.46</v>
      </c>
      <c r="C436" s="68">
        <f>'[26]Flujo de Vencimientos'!C$21</f>
        <v>1327.0600000000002</v>
      </c>
      <c r="D436" s="67">
        <f>'[26]Flujo de Vencimientos'!D$21</f>
        <v>65341.270000000004</v>
      </c>
      <c r="E436" s="68">
        <f>'[26]Flujo de Vencimientos'!E$21</f>
        <v>1102.76</v>
      </c>
      <c r="F436" s="67">
        <f>'[26]Flujo de Vencimientos'!F$21</f>
        <v>65578.07</v>
      </c>
      <c r="G436" s="68">
        <f>'[26]Flujo de Vencimientos'!G$21</f>
        <v>1113.9</v>
      </c>
      <c r="H436" s="67">
        <f>'[26]Flujo de Vencimientos'!H$21</f>
        <v>65815.59</v>
      </c>
      <c r="I436" s="68">
        <f>'[26]Flujo de Vencimientos'!I$21</f>
        <v>973.7</v>
      </c>
      <c r="J436" s="67">
        <f>'[26]Flujo de Vencimientos'!J$21</f>
        <v>66054.11</v>
      </c>
      <c r="K436" s="68">
        <f>'[26]Flujo de Vencimientos'!K$21</f>
        <v>897.6500000000001</v>
      </c>
      <c r="L436" s="67">
        <f>'[26]Flujo de Vencimientos'!L$21</f>
        <v>66293.35</v>
      </c>
      <c r="M436" s="68">
        <f>'[26]Flujo de Vencimientos'!M$21</f>
        <v>762.8399999999999</v>
      </c>
      <c r="N436" s="73">
        <f t="shared" si="188"/>
        <v>394187.85</v>
      </c>
      <c r="O436" s="74">
        <f t="shared" si="189"/>
        <v>6177.91</v>
      </c>
      <c r="P436" s="67">
        <f>'[26]Flujo de Vencimientos'!N$21</f>
        <v>66533.61</v>
      </c>
      <c r="Q436" s="68">
        <f>'[26]Flujo de Vencimientos'!O$21</f>
        <v>678.12</v>
      </c>
      <c r="R436" s="67">
        <f>'[26]Flujo de Vencimientos'!P$21</f>
        <v>66774.58</v>
      </c>
      <c r="S436" s="68">
        <f>'[26]Flujo de Vencimientos'!Q$21</f>
        <v>567.11</v>
      </c>
      <c r="T436" s="67">
        <f>'[26]Flujo de Vencimientos'!R$21</f>
        <v>67016.58</v>
      </c>
      <c r="U436" s="68">
        <f>'[26]Flujo de Vencimientos'!S$21</f>
        <v>440.68</v>
      </c>
      <c r="V436" s="67">
        <f>'[26]Flujo de Vencimientos'!T$21</f>
        <v>67259.31</v>
      </c>
      <c r="W436" s="68">
        <f>'[26]Flujo de Vencimientos'!U$21</f>
        <v>342.72</v>
      </c>
      <c r="X436" s="67">
        <f>'[26]Flujo de Vencimientos'!V$21</f>
        <v>67503.06</v>
      </c>
      <c r="Y436" s="68">
        <f>'[26]Flujo de Vencimientos'!W$21</f>
        <v>221.9</v>
      </c>
      <c r="Z436" s="67">
        <f>'[26]Flujo de Vencimientos'!X$21</f>
        <v>67747.55</v>
      </c>
      <c r="AA436" s="68">
        <f>'[26]Flujo de Vencimientos'!Y$21</f>
        <v>115.03999999999999</v>
      </c>
      <c r="AB436" s="73">
        <f t="shared" si="191"/>
        <v>797022.54</v>
      </c>
      <c r="AC436" s="74">
        <f t="shared" si="192"/>
        <v>8543.48</v>
      </c>
    </row>
    <row r="437" spans="1:29" ht="12.75">
      <c r="A437" s="34" t="s">
        <v>22</v>
      </c>
      <c r="B437" s="67">
        <f>'[41]Flujo Vencimientos'!B$21</f>
        <v>102426.02</v>
      </c>
      <c r="C437" s="68">
        <f>'[41]Flujo Vencimientos'!C$21</f>
        <v>2087.81</v>
      </c>
      <c r="D437" s="67">
        <f>'[41]Flujo Vencimientos'!D$21</f>
        <v>102797.03</v>
      </c>
      <c r="E437" s="68">
        <f>'[41]Flujo Vencimientos'!E$21</f>
        <v>1734.8400000000001</v>
      </c>
      <c r="F437" s="67">
        <f>'[41]Flujo Vencimientos'!F$21</f>
        <v>103169.54000000001</v>
      </c>
      <c r="G437" s="68">
        <f>'[41]Flujo Vencimientos'!G$21</f>
        <v>1752.49</v>
      </c>
      <c r="H437" s="67">
        <f>'[41]Flujo Vencimientos'!H$21</f>
        <v>103543.25</v>
      </c>
      <c r="I437" s="68">
        <f>'[41]Flujo Vencimientos'!I$21</f>
        <v>1531.84</v>
      </c>
      <c r="J437" s="67">
        <f>'[41]Flujo Vencimientos'!J$21</f>
        <v>103918.46</v>
      </c>
      <c r="K437" s="68">
        <f>'[41]Flujo Vencimientos'!K$21</f>
        <v>1412.1799999999998</v>
      </c>
      <c r="L437" s="67">
        <f>'[41]Flujo Vencimientos'!L$21</f>
        <v>104294.87999999999</v>
      </c>
      <c r="M437" s="68">
        <f>'[41]Flujo Vencimientos'!M$21</f>
        <v>1200.1399999999999</v>
      </c>
      <c r="N437" s="73">
        <f t="shared" si="188"/>
        <v>620149.1799999999</v>
      </c>
      <c r="O437" s="74">
        <f t="shared" si="189"/>
        <v>9719.3</v>
      </c>
      <c r="P437" s="67">
        <f>'[41]Flujo Vencimientos'!N$21</f>
        <v>104672.82</v>
      </c>
      <c r="Q437" s="68">
        <f>'[41]Flujo Vencimientos'!O$21</f>
        <v>1066.77</v>
      </c>
      <c r="R437" s="67">
        <f>'[41]Flujo Vencimientos'!P$21</f>
        <v>105051.97</v>
      </c>
      <c r="S437" s="68">
        <f>'[41]Flujo Vencimientos'!Q$21</f>
        <v>892.19</v>
      </c>
      <c r="T437" s="67">
        <f>'[41]Flujo Vencimientos'!R$21</f>
        <v>105432.65000000001</v>
      </c>
      <c r="U437" s="68">
        <f>'[41]Flujo Vencimientos'!S$21</f>
        <v>693.27</v>
      </c>
      <c r="V437" s="67">
        <f>'[41]Flujo Vencimientos'!T$21</f>
        <v>105814.56</v>
      </c>
      <c r="W437" s="68">
        <f>'[41]Flujo Vencimientos'!U$21</f>
        <v>539.2</v>
      </c>
      <c r="X437" s="67">
        <f>'[41]Flujo Vencimientos'!V$21</f>
        <v>106198</v>
      </c>
      <c r="Y437" s="68">
        <f>'[41]Flujo Vencimientos'!W$21</f>
        <v>349.15</v>
      </c>
      <c r="Z437" s="67">
        <f>'[41]Flujo Vencimientos'!X$21</f>
        <v>106582.68</v>
      </c>
      <c r="AA437" s="68">
        <f>'[41]Flujo Vencimientos'!Y$21</f>
        <v>181.04</v>
      </c>
      <c r="AB437" s="73">
        <f t="shared" si="191"/>
        <v>1253901.8599999999</v>
      </c>
      <c r="AC437" s="74">
        <f t="shared" si="192"/>
        <v>13440.920000000002</v>
      </c>
    </row>
    <row r="438" spans="1:29" ht="12.75">
      <c r="A438" s="34" t="s">
        <v>16</v>
      </c>
      <c r="B438" s="67">
        <f>'[39]Flujo Vencimiento'!B$21</f>
        <v>219488.92</v>
      </c>
      <c r="C438" s="68">
        <f>'[39]Flujo Vencimiento'!C$21</f>
        <v>4473.98</v>
      </c>
      <c r="D438" s="67">
        <f>'[39]Flujo Vencimiento'!D$21</f>
        <v>220284.05</v>
      </c>
      <c r="E438" s="68">
        <f>'[39]Flujo Vencimiento'!E$21</f>
        <v>3717.69</v>
      </c>
      <c r="F438" s="67">
        <f>'[39]Flujo Vencimiento'!F$21</f>
        <v>221082.22</v>
      </c>
      <c r="G438" s="68">
        <f>'[39]Flujo Vencimiento'!G$21</f>
        <v>3755.38</v>
      </c>
      <c r="H438" s="67">
        <f>'[39]Flujo Vencimiento'!H$21</f>
        <v>221883.12</v>
      </c>
      <c r="I438" s="68">
        <f>'[39]Flujo Vencimiento'!I$21</f>
        <v>3282.6699999999996</v>
      </c>
      <c r="J438" s="67">
        <f>'[39]Flujo Vencimiento'!J$21</f>
        <v>222687.08000000002</v>
      </c>
      <c r="K438" s="68">
        <f>'[39]Flujo Vencimiento'!K$21</f>
        <v>3026.12</v>
      </c>
      <c r="L438" s="67">
        <f>'[39]Flujo Vencimiento'!L$21</f>
        <v>223493.8</v>
      </c>
      <c r="M438" s="68">
        <f>'[39]Flujo Vencimiento'!M$21</f>
        <v>2571.72</v>
      </c>
      <c r="N438" s="73">
        <f t="shared" si="188"/>
        <v>1328919.19</v>
      </c>
      <c r="O438" s="74">
        <f t="shared" si="189"/>
        <v>20827.56</v>
      </c>
      <c r="P438" s="67">
        <f>'[39]Flujo Vencimiento'!N$21</f>
        <v>224303.59</v>
      </c>
      <c r="Q438" s="68">
        <f>'[39]Flujo Vencimiento'!O$21</f>
        <v>2286.06</v>
      </c>
      <c r="R438" s="67">
        <f>'[39]Flujo Vencimiento'!P$21</f>
        <v>225116.16999999998</v>
      </c>
      <c r="S438" s="68">
        <f>'[39]Flujo Vencimiento'!Q$21</f>
        <v>1911.95</v>
      </c>
      <c r="T438" s="67">
        <f>'[39]Flujo Vencimiento'!R$21</f>
        <v>225931.84</v>
      </c>
      <c r="U438" s="68">
        <f>'[39]Flujo Vencimiento'!S$21</f>
        <v>1485.5900000000001</v>
      </c>
      <c r="V438" s="67">
        <f>'[39]Flujo Vencimiento'!T$21</f>
        <v>226750.32</v>
      </c>
      <c r="W438" s="68">
        <f>'[39]Flujo Vencimiento'!U$21</f>
        <v>1155.5</v>
      </c>
      <c r="X438" s="67">
        <f>'[39]Flujo Vencimiento'!V$21</f>
        <v>227571.91</v>
      </c>
      <c r="Y438" s="68">
        <f>'[39]Flujo Vencimiento'!W$21</f>
        <v>748.1800000000001</v>
      </c>
      <c r="Z438" s="67">
        <f>'[39]Flujo Vencimiento'!X$21</f>
        <v>228396.32</v>
      </c>
      <c r="AA438" s="68">
        <f>'[39]Flujo Vencimiento'!Y$21</f>
        <v>387.96000000000004</v>
      </c>
      <c r="AB438" s="73">
        <f t="shared" si="191"/>
        <v>2686989.34</v>
      </c>
      <c r="AC438" s="74">
        <f t="shared" si="192"/>
        <v>28802.800000000003</v>
      </c>
    </row>
    <row r="439" spans="1:29" ht="12.75">
      <c r="A439" s="34" t="s">
        <v>15</v>
      </c>
      <c r="B439" s="67">
        <f>'[36]Flujo de Vencimientos'!B$21</f>
        <v>21447.89</v>
      </c>
      <c r="C439" s="68">
        <f>'[36]Flujo de Vencimientos'!C$21</f>
        <v>437.15</v>
      </c>
      <c r="D439" s="67">
        <f>'[36]Flujo de Vencimientos'!D$21</f>
        <v>21525.670000000002</v>
      </c>
      <c r="E439" s="68">
        <f>'[36]Flujo de Vencimientos'!E$21</f>
        <v>363.31</v>
      </c>
      <c r="F439" s="67">
        <f>'[36]Flujo de Vencimientos'!F$21</f>
        <v>21603.58</v>
      </c>
      <c r="G439" s="68">
        <f>'[36]Flujo de Vencimientos'!G$21</f>
        <v>366.96</v>
      </c>
      <c r="H439" s="67">
        <f>'[36]Flujo de Vencimientos'!H$21</f>
        <v>21681.93</v>
      </c>
      <c r="I439" s="68">
        <f>'[36]Flujo de Vencimientos'!I$21</f>
        <v>320.79</v>
      </c>
      <c r="J439" s="67">
        <f>'[36]Flujo de Vencimientos'!J$21</f>
        <v>21760.4</v>
      </c>
      <c r="K439" s="68">
        <f>'[36]Flujo de Vencimientos'!K$21</f>
        <v>295.72999999999996</v>
      </c>
      <c r="L439" s="67">
        <f>'[36]Flujo de Vencimientos'!L$21</f>
        <v>21839.32</v>
      </c>
      <c r="M439" s="68">
        <f>'[36]Flujo de Vencimientos'!M$21</f>
        <v>251.32</v>
      </c>
      <c r="N439" s="73">
        <f t="shared" si="188"/>
        <v>129858.79000000001</v>
      </c>
      <c r="O439" s="74">
        <f t="shared" si="189"/>
        <v>2035.26</v>
      </c>
      <c r="P439" s="67">
        <f>'[36]Flujo de Vencimientos'!N$21</f>
        <v>21918.370000000003</v>
      </c>
      <c r="Q439" s="68">
        <f>'[36]Flujo de Vencimientos'!O$21</f>
        <v>223.37</v>
      </c>
      <c r="R439" s="67">
        <f>'[36]Flujo de Vencimientos'!P$21</f>
        <v>21997.85</v>
      </c>
      <c r="S439" s="68">
        <f>'[36]Flujo de Vencimientos'!Q$21</f>
        <v>186.87</v>
      </c>
      <c r="T439" s="67">
        <f>'[36]Flujo de Vencimientos'!R$21</f>
        <v>22077.47</v>
      </c>
      <c r="U439" s="68">
        <f>'[36]Flujo de Vencimientos'!S$21</f>
        <v>145.18</v>
      </c>
      <c r="V439" s="67">
        <f>'[36]Flujo de Vencimientos'!T$21</f>
        <v>22157.54</v>
      </c>
      <c r="W439" s="68">
        <f>'[36]Flujo de Vencimientos'!U$21</f>
        <v>112.89999999999999</v>
      </c>
      <c r="X439" s="67">
        <f>'[36]Flujo de Vencimientos'!V$21</f>
        <v>22237.739999999998</v>
      </c>
      <c r="Y439" s="68">
        <f>'[36]Flujo de Vencimientos'!W$21</f>
        <v>73.11</v>
      </c>
      <c r="Z439" s="67">
        <f>'[36]Flujo de Vencimientos'!X$21</f>
        <v>22318.38</v>
      </c>
      <c r="AA439" s="68">
        <f>'[36]Flujo de Vencimientos'!Y$21</f>
        <v>37.93</v>
      </c>
      <c r="AB439" s="73">
        <f t="shared" si="191"/>
        <v>262566.14</v>
      </c>
      <c r="AC439" s="74">
        <f t="shared" si="192"/>
        <v>2814.62</v>
      </c>
    </row>
    <row r="440" spans="1:29" ht="12.75">
      <c r="A440" s="34" t="s">
        <v>14</v>
      </c>
      <c r="B440" s="67">
        <f>'[34]Flujo de Vencimiento'!B$21</f>
        <v>13922.22</v>
      </c>
      <c r="C440" s="68">
        <f>'[34]Flujo de Vencimiento'!C$21</f>
        <v>283.79</v>
      </c>
      <c r="D440" s="67">
        <f>'[34]Flujo de Vencimiento'!D$21</f>
        <v>13972.59</v>
      </c>
      <c r="E440" s="68">
        <f>'[34]Flujo de Vencimiento'!E$21</f>
        <v>235.79</v>
      </c>
      <c r="F440" s="67">
        <f>'[34]Flujo de Vencimiento'!F$21</f>
        <v>14023.289999999999</v>
      </c>
      <c r="G440" s="68">
        <f>'[34]Flujo de Vencimiento'!G$21</f>
        <v>238.22</v>
      </c>
      <c r="H440" s="67">
        <f>'[34]Flujo de Vencimiento'!H$21</f>
        <v>14074.019999999999</v>
      </c>
      <c r="I440" s="68">
        <f>'[34]Flujo de Vencimiento'!I$21</f>
        <v>208.2</v>
      </c>
      <c r="J440" s="67">
        <f>'[34]Flujo de Vencimiento'!J$21</f>
        <v>14125.08</v>
      </c>
      <c r="K440" s="68">
        <f>'[34]Flujo de Vencimiento'!K$21</f>
        <v>191.96999999999997</v>
      </c>
      <c r="L440" s="67">
        <f>'[34]Flujo de Vencimiento'!L$21</f>
        <v>14176.179999999998</v>
      </c>
      <c r="M440" s="68">
        <f>'[34]Flujo de Vencimiento'!M$21</f>
        <v>163.16</v>
      </c>
      <c r="N440" s="73">
        <f t="shared" si="188"/>
        <v>84293.37999999999</v>
      </c>
      <c r="O440" s="74">
        <f t="shared" si="189"/>
        <v>1321.13</v>
      </c>
      <c r="P440" s="67">
        <f>'[34]Flujo de Vencimiento'!N$21</f>
        <v>14227.619999999999</v>
      </c>
      <c r="Q440" s="68">
        <f>'[34]Flujo de Vencimiento'!O$21</f>
        <v>144.97</v>
      </c>
      <c r="R440" s="67">
        <f>'[34]Flujo de Vencimiento'!P$21</f>
        <v>14279.09</v>
      </c>
      <c r="S440" s="68">
        <f>'[34]Flujo de Vencimiento'!Q$21</f>
        <v>121.28</v>
      </c>
      <c r="T440" s="67">
        <f>'[34]Flujo de Vencimiento'!R$21</f>
        <v>14330.9</v>
      </c>
      <c r="U440" s="68">
        <f>'[34]Flujo de Vencimiento'!S$21</f>
        <v>94.19</v>
      </c>
      <c r="V440" s="67">
        <f>'[34]Flujo de Vencimiento'!T$21</f>
        <v>14382.74</v>
      </c>
      <c r="W440" s="68">
        <f>'[34]Flujo de Vencimiento'!U$21</f>
        <v>73.31</v>
      </c>
      <c r="X440" s="67">
        <f>'[34]Flujo de Vencimiento'!V$21</f>
        <v>14434.93</v>
      </c>
      <c r="Y440" s="68">
        <f>'[34]Flujo de Vencimiento'!W$21</f>
        <v>47.480000000000004</v>
      </c>
      <c r="Z440" s="67">
        <f>'[34]Flujo de Vencimiento'!X$21</f>
        <v>14487.15</v>
      </c>
      <c r="AA440" s="68">
        <f>'[34]Flujo de Vencimiento'!Y$21</f>
        <v>24.64</v>
      </c>
      <c r="AB440" s="73">
        <f t="shared" si="191"/>
        <v>170435.80999999997</v>
      </c>
      <c r="AC440" s="74">
        <f t="shared" si="192"/>
        <v>1827.0000000000002</v>
      </c>
    </row>
    <row r="441" spans="1:29" ht="12.75">
      <c r="A441" s="34" t="s">
        <v>13</v>
      </c>
      <c r="B441" s="67">
        <f>'[32]Flujo de Vencimientos'!B$21</f>
        <v>51645.26</v>
      </c>
      <c r="C441" s="68">
        <f>'[32]Flujo de Vencimientos'!C$21</f>
        <v>1052.68</v>
      </c>
      <c r="D441" s="67">
        <f>'[32]Flujo de Vencimientos'!D$21</f>
        <v>51832.450000000004</v>
      </c>
      <c r="E441" s="68">
        <f>'[32]Flujo de Vencimientos'!E$21</f>
        <v>874.77</v>
      </c>
      <c r="F441" s="67">
        <f>'[32]Flujo de Vencimientos'!F$21</f>
        <v>52020.16</v>
      </c>
      <c r="G441" s="68">
        <f>'[32]Flujo de Vencimientos'!G$21</f>
        <v>883.6600000000001</v>
      </c>
      <c r="H441" s="67">
        <f>'[32]Flujo de Vencimientos'!H$21</f>
        <v>52208.71</v>
      </c>
      <c r="I441" s="68">
        <f>'[32]Flujo de Vencimientos'!I$21</f>
        <v>772.37</v>
      </c>
      <c r="J441" s="67">
        <f>'[32]Flujo de Vencimientos'!J$21</f>
        <v>52397.78</v>
      </c>
      <c r="K441" s="68">
        <f>'[32]Flujo de Vencimientos'!K$21</f>
        <v>712.0400000000001</v>
      </c>
      <c r="L441" s="67">
        <f>'[32]Flujo de Vencimientos'!L$21</f>
        <v>52587.700000000004</v>
      </c>
      <c r="M441" s="68">
        <f>'[32]Flujo de Vencimientos'!M$21</f>
        <v>605.0899999999999</v>
      </c>
      <c r="N441" s="73">
        <f t="shared" si="188"/>
        <v>312692.06</v>
      </c>
      <c r="O441" s="74">
        <f t="shared" si="189"/>
        <v>4900.610000000001</v>
      </c>
      <c r="P441" s="67">
        <f>'[32]Flujo de Vencimientos'!N$21</f>
        <v>52778.15</v>
      </c>
      <c r="Q441" s="68">
        <f>'[32]Flujo de Vencimientos'!O$21</f>
        <v>537.89</v>
      </c>
      <c r="R441" s="67">
        <f>'[32]Flujo de Vencimientos'!P$21</f>
        <v>52969.44</v>
      </c>
      <c r="S441" s="68">
        <f>'[32]Flujo de Vencimientos'!Q$21</f>
        <v>449.89</v>
      </c>
      <c r="T441" s="67">
        <f>'[32]Flujo de Vencimientos'!R$21</f>
        <v>53161.270000000004</v>
      </c>
      <c r="U441" s="68">
        <f>'[32]Flujo de Vencimientos'!S$21</f>
        <v>349.56</v>
      </c>
      <c r="V441" s="67">
        <f>'[32]Flujo de Vencimientos'!T$21</f>
        <v>53353.950000000004</v>
      </c>
      <c r="W441" s="68">
        <f>'[32]Flujo de Vencimientos'!U$21</f>
        <v>271.88</v>
      </c>
      <c r="X441" s="67">
        <f>'[32]Flujo de Vencimientos'!V$21</f>
        <v>53547.17</v>
      </c>
      <c r="Y441" s="68">
        <f>'[32]Flujo de Vencimientos'!W$21</f>
        <v>176.04999999999998</v>
      </c>
      <c r="Z441" s="67">
        <f>'[32]Flujo de Vencimientos'!X$21</f>
        <v>53741.25</v>
      </c>
      <c r="AA441" s="68">
        <f>'[32]Flujo de Vencimientos'!Y$21</f>
        <v>91.25999999999999</v>
      </c>
      <c r="AB441" s="73">
        <f t="shared" si="191"/>
        <v>632243.29</v>
      </c>
      <c r="AC441" s="74">
        <f t="shared" si="192"/>
        <v>6777.140000000002</v>
      </c>
    </row>
    <row r="442" spans="1:29" ht="12.75">
      <c r="A442" s="34" t="s">
        <v>84</v>
      </c>
      <c r="B442" s="67">
        <f>'[18]Flujo Vencimientos'!B$21</f>
        <v>48179.07</v>
      </c>
      <c r="C442" s="68">
        <f>'[18]Flujo Vencimientos'!C$21</f>
        <v>982.09</v>
      </c>
      <c r="D442" s="67">
        <f>'[18]Flujo Vencimientos'!D$21</f>
        <v>48353.619999999995</v>
      </c>
      <c r="E442" s="68">
        <f>'[18]Flujo Vencimientos'!E$21</f>
        <v>816.0600000000001</v>
      </c>
      <c r="F442" s="67">
        <f>'[18]Flujo Vencimientos'!F$21</f>
        <v>48528.81</v>
      </c>
      <c r="G442" s="68">
        <f>'[18]Flujo Vencimientos'!G$21</f>
        <v>824.29</v>
      </c>
      <c r="H442" s="67">
        <f>'[18]Flujo Vencimientos'!H$21</f>
        <v>48704.63</v>
      </c>
      <c r="I442" s="68">
        <f>'[18]Flujo Vencimientos'!I$21</f>
        <v>720.5699999999999</v>
      </c>
      <c r="J442" s="67">
        <f>'[18]Flujo Vencimientos'!J$21</f>
        <v>48881.08</v>
      </c>
      <c r="K442" s="68">
        <f>'[18]Flujo Vencimientos'!K$21</f>
        <v>664.22</v>
      </c>
      <c r="L442" s="67">
        <f>'[18]Flujo Vencimientos'!L$21</f>
        <v>49058.18</v>
      </c>
      <c r="M442" s="68">
        <f>'[18]Flujo Vencimientos'!M$21</f>
        <v>564.47</v>
      </c>
      <c r="N442" s="83">
        <f t="shared" si="188"/>
        <v>291705.39</v>
      </c>
      <c r="O442" s="74">
        <f t="shared" si="189"/>
        <v>4571.700000000001</v>
      </c>
      <c r="P442" s="67">
        <f>'[18]Flujo Vencimientos'!N$21</f>
        <v>49235.99</v>
      </c>
      <c r="Q442" s="68">
        <f>'[18]Flujo Vencimientos'!O$21</f>
        <v>501.78000000000003</v>
      </c>
      <c r="R442" s="67">
        <f>'[18]Flujo Vencimientos'!P$21</f>
        <v>49414.299999999996</v>
      </c>
      <c r="S442" s="68">
        <f>'[18]Flujo Vencimientos'!Q$21</f>
        <v>419.70000000000005</v>
      </c>
      <c r="T442" s="67">
        <f>'[18]Flujo Vencimientos'!R$21</f>
        <v>49593.4</v>
      </c>
      <c r="U442" s="68">
        <f>'[18]Flujo Vencimientos'!S$21</f>
        <v>326.11</v>
      </c>
      <c r="V442" s="67">
        <f>'[18]Flujo Vencimientos'!T$21</f>
        <v>49773</v>
      </c>
      <c r="W442" s="68">
        <f>'[18]Flujo Vencimientos'!U$21</f>
        <v>253.67000000000002</v>
      </c>
      <c r="X442" s="67">
        <f>'[18]Flujo Vencimientos'!V$21</f>
        <v>49953.41</v>
      </c>
      <c r="Y442" s="68">
        <f>'[18]Flujo Vencimientos'!W$21</f>
        <v>164.2</v>
      </c>
      <c r="Z442" s="67">
        <f>'[18]Flujo Vencimientos'!X$21</f>
        <v>50134.31</v>
      </c>
      <c r="AA442" s="68">
        <f>'[18]Flujo Vencimientos'!Y$21</f>
        <v>85.19</v>
      </c>
      <c r="AB442" s="73">
        <f t="shared" si="191"/>
        <v>589809.8</v>
      </c>
      <c r="AC442" s="74">
        <f t="shared" si="192"/>
        <v>6322.349999999999</v>
      </c>
    </row>
    <row r="443" spans="1:29" ht="12.75">
      <c r="A443" s="34" t="s">
        <v>105</v>
      </c>
      <c r="B443" s="67">
        <f>'[11]Flujo Vencimientos'!B$21</f>
        <v>77051.48</v>
      </c>
      <c r="C443" s="68">
        <f>'[11]Flujo Vencimientos'!C$21</f>
        <v>1570.59</v>
      </c>
      <c r="D443" s="67">
        <f>'[11]Flujo Vencimientos'!D$21</f>
        <v>77330.56</v>
      </c>
      <c r="E443" s="68">
        <f>'[11]Flujo Vencimientos'!E$21</f>
        <v>1305.1</v>
      </c>
      <c r="F443" s="67">
        <f>'[11]Flujo Vencimientos'!F$21</f>
        <v>77610.8</v>
      </c>
      <c r="G443" s="68">
        <f>'[11]Flujo Vencimientos'!G$21</f>
        <v>1318.33</v>
      </c>
      <c r="H443" s="67">
        <f>'[11]Flujo Vencimientos'!H$21</f>
        <v>77891.91</v>
      </c>
      <c r="I443" s="68">
        <f>'[11]Flujo Vencimientos'!I$21</f>
        <v>1152.37</v>
      </c>
      <c r="J443" s="67">
        <f>'[11]Flujo Vencimientos'!J$21</f>
        <v>78174.19</v>
      </c>
      <c r="K443" s="68">
        <f>'[11]Flujo Vencimientos'!K$21</f>
        <v>1062.34</v>
      </c>
      <c r="L443" s="67">
        <f>'[11]Flujo Vencimientos'!L$21</f>
        <v>78457.34</v>
      </c>
      <c r="M443" s="68">
        <f>'[11]Flujo Vencimientos'!M$21</f>
        <v>902.8</v>
      </c>
      <c r="N443" s="73">
        <f t="shared" si="188"/>
        <v>466516.28</v>
      </c>
      <c r="O443" s="84">
        <f t="shared" si="189"/>
        <v>7311.53</v>
      </c>
      <c r="P443" s="67">
        <f>'[11]Flujo Vencimientos'!N$21</f>
        <v>78741.67</v>
      </c>
      <c r="Q443" s="68">
        <f>'[11]Flujo Vencimientos'!O$21</f>
        <v>802.48</v>
      </c>
      <c r="R443" s="67">
        <f>'[11]Flujo Vencimientos'!P$21</f>
        <v>79026.87000000001</v>
      </c>
      <c r="S443" s="68">
        <f>'[11]Flujo Vencimientos'!Q$21</f>
        <v>671.16</v>
      </c>
      <c r="T443" s="67">
        <f>'[11]Flujo Vencimientos'!R$21</f>
        <v>79313.26</v>
      </c>
      <c r="U443" s="68">
        <f>'[11]Flujo Vencimientos'!S$21</f>
        <v>521.49</v>
      </c>
      <c r="V443" s="67">
        <f>'[11]Flujo Vencimientos'!T$21</f>
        <v>79600.54000000001</v>
      </c>
      <c r="W443" s="68">
        <f>'[11]Flujo Vencimientos'!U$21</f>
        <v>405.62</v>
      </c>
      <c r="X443" s="67">
        <f>'[11]Flujo Vencimientos'!V$21</f>
        <v>79889.01</v>
      </c>
      <c r="Y443" s="68">
        <f>'[11]Flujo Vencimientos'!W$21</f>
        <v>262.64</v>
      </c>
      <c r="Z443" s="67">
        <f>'[11]Flujo Vencimientos'!X$21</f>
        <v>80178.37000000001</v>
      </c>
      <c r="AA443" s="68">
        <f>'[11]Flujo Vencimientos'!Y$21</f>
        <v>136.19</v>
      </c>
      <c r="AB443" s="73">
        <f t="shared" si="191"/>
        <v>943266.0000000001</v>
      </c>
      <c r="AC443" s="74">
        <f t="shared" si="192"/>
        <v>10111.11</v>
      </c>
    </row>
    <row r="444" spans="1:29" ht="12.75">
      <c r="A444" s="34" t="s">
        <v>4</v>
      </c>
      <c r="B444" s="67">
        <f>'[9]Flujo de Vencimientos'!B$21</f>
        <v>57773.200000000004</v>
      </c>
      <c r="C444" s="68">
        <f>'[9]Flujo de Vencimientos'!C$21</f>
        <v>1177.66</v>
      </c>
      <c r="D444" s="67">
        <f>'[9]Flujo de Vencimientos'!D$21</f>
        <v>57982.59</v>
      </c>
      <c r="E444" s="68">
        <f>'[9]Flujo de Vencimientos'!E$21</f>
        <v>978.53</v>
      </c>
      <c r="F444" s="67">
        <f>'[9]Flujo de Vencimientos'!F$21</f>
        <v>58192.58</v>
      </c>
      <c r="G444" s="68">
        <f>'[9]Flujo de Vencimientos'!G$21</f>
        <v>988.47</v>
      </c>
      <c r="H444" s="67">
        <f>'[9]Flujo de Vencimientos'!H$21</f>
        <v>58403.49</v>
      </c>
      <c r="I444" s="68">
        <f>'[9]Flujo de Vencimientos'!I$21</f>
        <v>864.05</v>
      </c>
      <c r="J444" s="67">
        <f>'[9]Flujo de Vencimientos'!J$21</f>
        <v>58615.01</v>
      </c>
      <c r="K444" s="68">
        <f>'[9]Flujo de Vencimientos'!K$21</f>
        <v>796.5500000000001</v>
      </c>
      <c r="L444" s="67">
        <f>'[9]Flujo de Vencimientos'!L$21</f>
        <v>58827.45</v>
      </c>
      <c r="M444" s="68">
        <f>'[9]Flujo de Vencimientos'!M$21</f>
        <v>676.89</v>
      </c>
      <c r="N444" s="73">
        <f t="shared" si="188"/>
        <v>349794.32</v>
      </c>
      <c r="O444" s="84">
        <f t="shared" si="189"/>
        <v>5482.150000000001</v>
      </c>
      <c r="P444" s="67">
        <f>'[9]Flujo de Vencimientos'!N$21</f>
        <v>59040.5</v>
      </c>
      <c r="Q444" s="68">
        <f>'[9]Flujo de Vencimientos'!O$21</f>
        <v>601.71</v>
      </c>
      <c r="R444" s="67">
        <f>'[9]Flujo de Vencimientos'!P$21</f>
        <v>59254.479999999996</v>
      </c>
      <c r="S444" s="68">
        <f>'[9]Flujo de Vencimientos'!Q$21</f>
        <v>503.29</v>
      </c>
      <c r="T444" s="67">
        <f>'[9]Flujo de Vencimientos'!R$21</f>
        <v>59469.090000000004</v>
      </c>
      <c r="U444" s="68">
        <f>'[9]Flujo de Vencimientos'!S$21</f>
        <v>391</v>
      </c>
      <c r="V444" s="67">
        <f>'[9]Flujo de Vencimientos'!T$21</f>
        <v>59684.619999999995</v>
      </c>
      <c r="W444" s="68">
        <f>'[9]Flujo de Vencimientos'!U$21</f>
        <v>304.14</v>
      </c>
      <c r="X444" s="67">
        <f>'[9]Flujo de Vencimientos'!V$21</f>
        <v>59900.78</v>
      </c>
      <c r="Y444" s="68">
        <f>'[9]Flujo de Vencimientos'!W$21</f>
        <v>196.96</v>
      </c>
      <c r="Z444" s="67">
        <f>'[9]Flujo de Vencimientos'!X$21</f>
        <v>60117.88</v>
      </c>
      <c r="AA444" s="68">
        <f>'[9]Flujo de Vencimientos'!Y$21</f>
        <v>102.14</v>
      </c>
      <c r="AB444" s="73">
        <f t="shared" si="191"/>
        <v>707261.67</v>
      </c>
      <c r="AC444" s="74">
        <f t="shared" si="192"/>
        <v>7581.390000000001</v>
      </c>
    </row>
    <row r="445" spans="1:29" ht="12.75">
      <c r="A445" s="34" t="s">
        <v>10</v>
      </c>
      <c r="B445" s="67">
        <f>'[7]Flujo vencimientos'!B$21</f>
        <v>17599.3</v>
      </c>
      <c r="C445" s="68">
        <f>'[7]Flujo vencimientos'!C$21</f>
        <v>358.71</v>
      </c>
      <c r="D445" s="67">
        <f>'[7]Flujo vencimientos'!D$21</f>
        <v>17662.99</v>
      </c>
      <c r="E445" s="68">
        <f>'[7]Flujo vencimientos'!E$21</f>
        <v>298.09</v>
      </c>
      <c r="F445" s="67">
        <f>'[7]Flujo vencimientos'!F$21</f>
        <v>17727.06</v>
      </c>
      <c r="G445" s="68">
        <f>'[7]Flujo vencimientos'!G$21</f>
        <v>301.12</v>
      </c>
      <c r="H445" s="67">
        <f>'[7]Flujo vencimientos'!H$21</f>
        <v>17791.2</v>
      </c>
      <c r="I445" s="68">
        <f>'[7]Flujo vencimientos'!I$21</f>
        <v>263.25</v>
      </c>
      <c r="J445" s="67">
        <f>'[7]Flujo vencimientos'!J$21</f>
        <v>17855.74</v>
      </c>
      <c r="K445" s="68">
        <f>'[7]Flujo vencimientos'!K$21</f>
        <v>242.68</v>
      </c>
      <c r="L445" s="67">
        <f>'[7]Flujo vencimientos'!L$21</f>
        <v>17920.35</v>
      </c>
      <c r="M445" s="68">
        <f>'[7]Flujo vencimientos'!M$21</f>
        <v>206.20999999999998</v>
      </c>
      <c r="N445" s="73">
        <f t="shared" si="188"/>
        <v>106556.64000000001</v>
      </c>
      <c r="O445" s="84">
        <f t="shared" si="189"/>
        <v>1670.0600000000002</v>
      </c>
      <c r="P445" s="67">
        <f>'[7]Flujo vencimientos'!N$21</f>
        <v>17985.36</v>
      </c>
      <c r="Q445" s="68">
        <f>'[7]Flujo vencimientos'!O$21</f>
        <v>183.29</v>
      </c>
      <c r="R445" s="67">
        <f>'[7]Flujo vencimientos'!P$21</f>
        <v>18050.44</v>
      </c>
      <c r="S445" s="68">
        <f>'[7]Flujo vencimientos'!Q$21</f>
        <v>153.31</v>
      </c>
      <c r="T445" s="67">
        <f>'[7]Flujo vencimientos'!R$21</f>
        <v>18115.91</v>
      </c>
      <c r="U445" s="68">
        <f>'[7]Flujo vencimientos'!S$21</f>
        <v>119.11</v>
      </c>
      <c r="V445" s="67">
        <f>'[7]Flujo vencimientos'!T$21</f>
        <v>18181.47</v>
      </c>
      <c r="W445" s="68">
        <f>'[7]Flujo vencimientos'!U$21</f>
        <v>92.68</v>
      </c>
      <c r="X445" s="67">
        <f>'[7]Flujo vencimientos'!V$21</f>
        <v>18247.420000000002</v>
      </c>
      <c r="Y445" s="68">
        <f>'[7]Flujo vencimientos'!W$21</f>
        <v>60.03</v>
      </c>
      <c r="Z445" s="67">
        <f>'[7]Flujo vencimientos'!X$21</f>
        <v>18313.45</v>
      </c>
      <c r="AA445" s="68">
        <f>'[7]Flujo vencimientos'!Y$21</f>
        <v>31.09</v>
      </c>
      <c r="AB445" s="73">
        <f t="shared" si="191"/>
        <v>215450.69000000003</v>
      </c>
      <c r="AC445" s="74">
        <f t="shared" si="192"/>
        <v>2309.57</v>
      </c>
    </row>
    <row r="446" spans="1:29" ht="13.5" thickBot="1">
      <c r="A446" s="34" t="s">
        <v>11</v>
      </c>
      <c r="B446" s="67">
        <f>'[3]Flujo Vencimientos'!B$21</f>
        <v>214773.8</v>
      </c>
      <c r="C446" s="68">
        <f>'[3]Flujo Vencimientos'!C$21</f>
        <v>4377.84</v>
      </c>
      <c r="D446" s="67">
        <f>'[3]Flujo Vencimientos'!D$21</f>
        <v>215552</v>
      </c>
      <c r="E446" s="68">
        <f>'[3]Flujo Vencimientos'!E$21</f>
        <v>3637.84</v>
      </c>
      <c r="F446" s="67">
        <f>'[3]Flujo Vencimientos'!F$21</f>
        <v>216332.87</v>
      </c>
      <c r="G446" s="68">
        <f>'[3]Flujo Vencimientos'!G$21</f>
        <v>3674.7200000000003</v>
      </c>
      <c r="H446" s="67">
        <f>'[3]Flujo Vencimientos'!H$21</f>
        <v>217116.72</v>
      </c>
      <c r="I446" s="68">
        <f>'[3]Flujo Vencimientos'!I$21</f>
        <v>3212.1400000000003</v>
      </c>
      <c r="J446" s="67">
        <f>'[3]Flujo Vencimientos'!J$21</f>
        <v>217903.25999999998</v>
      </c>
      <c r="K446" s="68">
        <f>'[3]Flujo Vencimientos'!K$21</f>
        <v>2961.0899999999997</v>
      </c>
      <c r="L446" s="67">
        <f>'[3]Flujo Vencimientos'!L$21</f>
        <v>218692.8</v>
      </c>
      <c r="M446" s="68">
        <f>'[3]Flujo Vencimientos'!M$21</f>
        <v>2516.5</v>
      </c>
      <c r="N446" s="73">
        <f t="shared" si="188"/>
        <v>1300371.45</v>
      </c>
      <c r="O446" s="84">
        <f t="shared" si="189"/>
        <v>20380.13</v>
      </c>
      <c r="P446" s="67">
        <f>'[3]Flujo Vencimientos'!N$21</f>
        <v>219485.03999999998</v>
      </c>
      <c r="Q446" s="68">
        <f>'[3]Flujo Vencimientos'!O$21</f>
        <v>2236.98</v>
      </c>
      <c r="R446" s="67">
        <f>'[3]Flujo Vencimientos'!P$21</f>
        <v>220280.32</v>
      </c>
      <c r="S446" s="68">
        <f>'[3]Flujo Vencimientos'!Q$21</f>
        <v>1870.89</v>
      </c>
      <c r="T446" s="67">
        <f>'[3]Flujo Vencimientos'!R$21</f>
        <v>221078.31</v>
      </c>
      <c r="U446" s="68">
        <f>'[3]Flujo Vencimientos'!S$21</f>
        <v>1453.6699999999998</v>
      </c>
      <c r="V446" s="67">
        <f>'[3]Flujo Vencimientos'!T$21</f>
        <v>221879.36000000002</v>
      </c>
      <c r="W446" s="68">
        <f>'[3]Flujo Vencimientos'!U$21</f>
        <v>1130.65</v>
      </c>
      <c r="X446" s="67">
        <f>'[3]Flujo Vencimientos'!V$21</f>
        <v>222683.15</v>
      </c>
      <c r="Y446" s="68">
        <f>'[3]Flujo Vencimientos'!W$21</f>
        <v>732.0699999999999</v>
      </c>
      <c r="Z446" s="67">
        <f>'[3]Flujo Vencimientos'!X$21</f>
        <v>223490.01</v>
      </c>
      <c r="AA446" s="68">
        <f>'[3]Flujo Vencimientos'!Y$21</f>
        <v>379.65</v>
      </c>
      <c r="AB446" s="73">
        <f t="shared" si="191"/>
        <v>2629267.6399999997</v>
      </c>
      <c r="AC446" s="74">
        <f t="shared" si="192"/>
        <v>28184.04</v>
      </c>
    </row>
    <row r="447" spans="1:29" s="42" customFormat="1" ht="12.75" thickBot="1">
      <c r="A447" s="43" t="s">
        <v>120</v>
      </c>
      <c r="B447" s="71">
        <f aca="true" t="shared" si="193" ref="B447:M447">B434</f>
        <v>996984.55</v>
      </c>
      <c r="C447" s="72">
        <f t="shared" si="193"/>
        <v>20322.05</v>
      </c>
      <c r="D447" s="71">
        <f t="shared" si="193"/>
        <v>1000596.4099999998</v>
      </c>
      <c r="E447" s="72">
        <f t="shared" si="193"/>
        <v>16886.81</v>
      </c>
      <c r="F447" s="71">
        <f t="shared" si="193"/>
        <v>1004221.79</v>
      </c>
      <c r="G447" s="72">
        <f t="shared" si="193"/>
        <v>17058.059999999998</v>
      </c>
      <c r="H447" s="71">
        <f t="shared" si="193"/>
        <v>1007859.8699999999</v>
      </c>
      <c r="I447" s="72">
        <f t="shared" si="193"/>
        <v>14910.809999999998</v>
      </c>
      <c r="J447" s="71">
        <f t="shared" si="193"/>
        <v>1011511.55</v>
      </c>
      <c r="K447" s="72">
        <f t="shared" si="193"/>
        <v>13745.689999999999</v>
      </c>
      <c r="L447" s="71">
        <f t="shared" si="193"/>
        <v>1015176.0399999998</v>
      </c>
      <c r="M447" s="72">
        <f t="shared" si="193"/>
        <v>11681.519999999999</v>
      </c>
      <c r="N447" s="597">
        <f t="shared" si="188"/>
        <v>6036350.21</v>
      </c>
      <c r="O447" s="598">
        <f t="shared" si="189"/>
        <v>94604.94</v>
      </c>
      <c r="P447" s="71">
        <f>P434</f>
        <v>1018854.3400000001</v>
      </c>
      <c r="Q447" s="72">
        <f>Q434</f>
        <v>10383.85</v>
      </c>
      <c r="R447" s="71">
        <f>R434</f>
        <v>1022545.3299999998</v>
      </c>
      <c r="S447" s="72">
        <f aca="true" t="shared" si="194" ref="S447:AA447">S434</f>
        <v>8684.65</v>
      </c>
      <c r="T447" s="71">
        <f t="shared" si="194"/>
        <v>1026250.3</v>
      </c>
      <c r="U447" s="72">
        <f t="shared" si="194"/>
        <v>6747.959999999999</v>
      </c>
      <c r="V447" s="71">
        <f t="shared" si="194"/>
        <v>1029968.1299999999</v>
      </c>
      <c r="W447" s="72">
        <f t="shared" si="194"/>
        <v>5248.5599999999995</v>
      </c>
      <c r="X447" s="71">
        <f t="shared" si="194"/>
        <v>1033700.0000000002</v>
      </c>
      <c r="Y447" s="72">
        <f t="shared" si="194"/>
        <v>3398.4299999999994</v>
      </c>
      <c r="Z447" s="71">
        <f t="shared" si="194"/>
        <v>1037444.78</v>
      </c>
      <c r="AA447" s="72">
        <f t="shared" si="194"/>
        <v>1762.2600000000002</v>
      </c>
      <c r="AB447" s="597">
        <f t="shared" si="191"/>
        <v>12205113.089999998</v>
      </c>
      <c r="AC447" s="598">
        <f t="shared" si="192"/>
        <v>130830.64999999998</v>
      </c>
    </row>
    <row r="448" spans="1:29" ht="13.5" thickBot="1">
      <c r="A448" s="42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1"/>
      <c r="AC448" s="42"/>
    </row>
    <row r="449" spans="1:29" s="42" customFormat="1" ht="12.75" thickBot="1">
      <c r="A449" s="12" t="s">
        <v>94</v>
      </c>
      <c r="B449" s="39"/>
      <c r="C449" s="39"/>
      <c r="D449" s="39"/>
      <c r="E449" s="39"/>
      <c r="F449" s="39"/>
      <c r="G449" s="39"/>
      <c r="H449" s="78" t="s">
        <v>132</v>
      </c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78" t="str">
        <f>H449</f>
        <v>EN PESOS</v>
      </c>
      <c r="W449" s="39"/>
      <c r="X449" s="39"/>
      <c r="Y449" s="39"/>
      <c r="Z449" s="39"/>
      <c r="AA449" s="39"/>
      <c r="AB449" s="39"/>
      <c r="AC449" s="38"/>
    </row>
    <row r="450" spans="1:29" ht="12.75">
      <c r="A450" s="134" t="s">
        <v>130</v>
      </c>
      <c r="B450" s="32">
        <f aca="true" t="shared" si="195" ref="B450:AC450">SUM(B451:B453)</f>
        <v>50262.6</v>
      </c>
      <c r="C450" s="31">
        <f t="shared" si="195"/>
        <v>36235.37</v>
      </c>
      <c r="D450" s="32">
        <f t="shared" si="195"/>
        <v>50262.6</v>
      </c>
      <c r="E450" s="31">
        <f t="shared" si="195"/>
        <v>32497.38</v>
      </c>
      <c r="F450" s="32">
        <f t="shared" si="195"/>
        <v>50262.6</v>
      </c>
      <c r="G450" s="31">
        <f t="shared" si="195"/>
        <v>35723.1</v>
      </c>
      <c r="H450" s="32">
        <f t="shared" si="195"/>
        <v>50262.6</v>
      </c>
      <c r="I450" s="31">
        <f t="shared" si="195"/>
        <v>34322.88</v>
      </c>
      <c r="J450" s="32">
        <f t="shared" si="195"/>
        <v>50262.6</v>
      </c>
      <c r="K450" s="31">
        <f t="shared" si="195"/>
        <v>35210.84</v>
      </c>
      <c r="L450" s="32">
        <f t="shared" si="195"/>
        <v>50262.6</v>
      </c>
      <c r="M450" s="31">
        <f t="shared" si="195"/>
        <v>33827.13</v>
      </c>
      <c r="N450" s="32">
        <f t="shared" si="195"/>
        <v>301575.6</v>
      </c>
      <c r="O450" s="31">
        <f t="shared" si="195"/>
        <v>207816.7</v>
      </c>
      <c r="P450" s="32">
        <f t="shared" si="195"/>
        <v>50262.6</v>
      </c>
      <c r="Q450" s="31">
        <f t="shared" si="195"/>
        <v>34698.57</v>
      </c>
      <c r="R450" s="32">
        <f t="shared" si="195"/>
        <v>50262.6</v>
      </c>
      <c r="S450" s="31">
        <f t="shared" si="195"/>
        <v>34442.44</v>
      </c>
      <c r="T450" s="32">
        <f t="shared" si="195"/>
        <v>50262.6</v>
      </c>
      <c r="U450" s="31">
        <f t="shared" si="195"/>
        <v>33083.52</v>
      </c>
      <c r="V450" s="32">
        <f t="shared" si="195"/>
        <v>50262.6</v>
      </c>
      <c r="W450" s="31">
        <f t="shared" si="195"/>
        <v>33930.18</v>
      </c>
      <c r="X450" s="32">
        <f t="shared" si="195"/>
        <v>50262.6</v>
      </c>
      <c r="Y450" s="31">
        <f t="shared" si="195"/>
        <v>32587.78</v>
      </c>
      <c r="Z450" s="32">
        <f t="shared" si="195"/>
        <v>50262.6</v>
      </c>
      <c r="AA450" s="31">
        <f t="shared" si="195"/>
        <v>33417.91</v>
      </c>
      <c r="AB450" s="32">
        <f t="shared" si="195"/>
        <v>603151.1999999998</v>
      </c>
      <c r="AC450" s="31">
        <f t="shared" si="195"/>
        <v>409977.1000000001</v>
      </c>
    </row>
    <row r="451" spans="1:29" ht="13.5" thickBot="1">
      <c r="A451" s="5" t="s">
        <v>22</v>
      </c>
      <c r="B451" s="545">
        <f>'[68]Flujo vencimientos'!B$21</f>
        <v>50262.6</v>
      </c>
      <c r="C451" s="546">
        <f>'[68]Flujo vencimientos'!C$21</f>
        <v>36235.37</v>
      </c>
      <c r="D451" s="545">
        <f>'[68]Flujo vencimientos'!D$21</f>
        <v>50262.6</v>
      </c>
      <c r="E451" s="546">
        <f>'[68]Flujo vencimientos'!E$21</f>
        <v>32497.38</v>
      </c>
      <c r="F451" s="545">
        <f>'[68]Flujo vencimientos'!F$21</f>
        <v>50262.6</v>
      </c>
      <c r="G451" s="546">
        <f>'[68]Flujo vencimientos'!G$21</f>
        <v>35723.1</v>
      </c>
      <c r="H451" s="545">
        <f>'[68]Flujo vencimientos'!H$21</f>
        <v>50262.6</v>
      </c>
      <c r="I451" s="546">
        <f>'[68]Flujo vencimientos'!I$21</f>
        <v>34322.88</v>
      </c>
      <c r="J451" s="545">
        <f>'[68]Flujo vencimientos'!J$21</f>
        <v>50262.6</v>
      </c>
      <c r="K451" s="546">
        <f>'[68]Flujo vencimientos'!K$21</f>
        <v>35210.84</v>
      </c>
      <c r="L451" s="545">
        <f>'[68]Flujo vencimientos'!L$21</f>
        <v>50262.6</v>
      </c>
      <c r="M451" s="546">
        <f>'[68]Flujo vencimientos'!M$21</f>
        <v>33827.13</v>
      </c>
      <c r="N451" s="547">
        <f aca="true" t="shared" si="196" ref="N451:O455">B451+D451+F451+H451+J451+L451</f>
        <v>301575.6</v>
      </c>
      <c r="O451" s="84">
        <f t="shared" si="196"/>
        <v>207816.7</v>
      </c>
      <c r="P451" s="545">
        <f>'[68]Flujo vencimientos'!N$21</f>
        <v>50262.6</v>
      </c>
      <c r="Q451" s="546">
        <f>'[68]Flujo vencimientos'!O$21</f>
        <v>34698.57</v>
      </c>
      <c r="R451" s="545">
        <f>'[68]Flujo vencimientos'!P$21</f>
        <v>50262.6</v>
      </c>
      <c r="S451" s="546">
        <f>'[68]Flujo vencimientos'!Q$21</f>
        <v>34442.44</v>
      </c>
      <c r="T451" s="545">
        <f>'[68]Flujo vencimientos'!R$21</f>
        <v>50262.6</v>
      </c>
      <c r="U451" s="546">
        <f>'[68]Flujo vencimientos'!S$21</f>
        <v>33083.52</v>
      </c>
      <c r="V451" s="545">
        <f>'[68]Flujo vencimientos'!T$21</f>
        <v>50262.6</v>
      </c>
      <c r="W451" s="546">
        <f>'[68]Flujo vencimientos'!U$21</f>
        <v>33930.18</v>
      </c>
      <c r="X451" s="545">
        <f>'[68]Flujo vencimientos'!V$21</f>
        <v>50262.6</v>
      </c>
      <c r="Y451" s="546">
        <f>'[68]Flujo vencimientos'!W$21</f>
        <v>32587.78</v>
      </c>
      <c r="Z451" s="545">
        <f>'[68]Flujo vencimientos'!X$21</f>
        <v>50262.6</v>
      </c>
      <c r="AA451" s="546">
        <f>'[68]Flujo vencimientos'!Y$21</f>
        <v>33417.91</v>
      </c>
      <c r="AB451" s="547">
        <f>+N451+P451+R451+T451+V451+X451+Z451</f>
        <v>603151.1999999998</v>
      </c>
      <c r="AC451" s="84">
        <f>O451+Q451+S451+U451+W451+Y451+AA451</f>
        <v>409977.1000000001</v>
      </c>
    </row>
    <row r="452" spans="1:29" ht="13.5" hidden="1" thickBot="1">
      <c r="A452" s="5" t="s">
        <v>8</v>
      </c>
      <c r="B452" s="545"/>
      <c r="C452" s="546"/>
      <c r="D452" s="545"/>
      <c r="E452" s="546"/>
      <c r="F452" s="545"/>
      <c r="G452" s="546"/>
      <c r="H452" s="545"/>
      <c r="I452" s="546"/>
      <c r="J452" s="545"/>
      <c r="K452" s="546"/>
      <c r="L452" s="545"/>
      <c r="M452" s="546"/>
      <c r="N452" s="547">
        <f t="shared" si="196"/>
        <v>0</v>
      </c>
      <c r="O452" s="84">
        <f t="shared" si="196"/>
        <v>0</v>
      </c>
      <c r="P452" s="545"/>
      <c r="Q452" s="546"/>
      <c r="R452" s="545"/>
      <c r="S452" s="546"/>
      <c r="T452" s="545"/>
      <c r="U452" s="546"/>
      <c r="V452" s="545"/>
      <c r="W452" s="546"/>
      <c r="X452" s="545"/>
      <c r="Y452" s="546"/>
      <c r="Z452" s="545"/>
      <c r="AA452" s="546"/>
      <c r="AB452" s="547">
        <f>+N452+P452+R452+T452+V452+X452+Z452</f>
        <v>0</v>
      </c>
      <c r="AC452" s="84">
        <f>O452+Q452+S452+U452+W452+Y452+AA452</f>
        <v>0</v>
      </c>
    </row>
    <row r="453" spans="1:29" ht="13.5" hidden="1" thickBot="1">
      <c r="A453" s="5" t="s">
        <v>11</v>
      </c>
      <c r="B453" s="545"/>
      <c r="C453" s="546"/>
      <c r="D453" s="545"/>
      <c r="E453" s="546"/>
      <c r="F453" s="545"/>
      <c r="G453" s="546"/>
      <c r="H453" s="545"/>
      <c r="I453" s="546"/>
      <c r="J453" s="545"/>
      <c r="K453" s="546"/>
      <c r="L453" s="545"/>
      <c r="M453" s="546"/>
      <c r="N453" s="547">
        <f t="shared" si="196"/>
        <v>0</v>
      </c>
      <c r="O453" s="84">
        <f t="shared" si="196"/>
        <v>0</v>
      </c>
      <c r="P453" s="545"/>
      <c r="Q453" s="546"/>
      <c r="R453" s="545"/>
      <c r="S453" s="546"/>
      <c r="T453" s="545"/>
      <c r="U453" s="546"/>
      <c r="V453" s="545"/>
      <c r="W453" s="546"/>
      <c r="X453" s="545"/>
      <c r="Y453" s="546"/>
      <c r="Z453" s="545"/>
      <c r="AA453" s="546"/>
      <c r="AB453" s="547">
        <f>+N453+P453+R453+T453+V453+X453+Z453</f>
        <v>0</v>
      </c>
      <c r="AC453" s="84">
        <f>O453+Q453+S453+U453+W453+Y453+AA453</f>
        <v>0</v>
      </c>
    </row>
    <row r="454" spans="1:29" s="42" customFormat="1" ht="12.75" thickBot="1">
      <c r="A454" s="30" t="s">
        <v>121</v>
      </c>
      <c r="B454" s="28">
        <f>B450</f>
        <v>50262.6</v>
      </c>
      <c r="C454" s="27">
        <f>C450</f>
        <v>36235.37</v>
      </c>
      <c r="D454" s="28">
        <f aca="true" t="shared" si="197" ref="D454:M454">D450</f>
        <v>50262.6</v>
      </c>
      <c r="E454" s="27">
        <f t="shared" si="197"/>
        <v>32497.38</v>
      </c>
      <c r="F454" s="28">
        <f t="shared" si="197"/>
        <v>50262.6</v>
      </c>
      <c r="G454" s="27">
        <f t="shared" si="197"/>
        <v>35723.1</v>
      </c>
      <c r="H454" s="28">
        <f t="shared" si="197"/>
        <v>50262.6</v>
      </c>
      <c r="I454" s="27">
        <f t="shared" si="197"/>
        <v>34322.88</v>
      </c>
      <c r="J454" s="28">
        <f t="shared" si="197"/>
        <v>50262.6</v>
      </c>
      <c r="K454" s="27">
        <f t="shared" si="197"/>
        <v>35210.84</v>
      </c>
      <c r="L454" s="28">
        <f t="shared" si="197"/>
        <v>50262.6</v>
      </c>
      <c r="M454" s="27">
        <f t="shared" si="197"/>
        <v>33827.13</v>
      </c>
      <c r="N454" s="49">
        <f t="shared" si="196"/>
        <v>301575.6</v>
      </c>
      <c r="O454" s="48">
        <f t="shared" si="196"/>
        <v>207816.7</v>
      </c>
      <c r="P454" s="28">
        <f aca="true" t="shared" si="198" ref="P454:AA454">P450</f>
        <v>50262.6</v>
      </c>
      <c r="Q454" s="27">
        <f t="shared" si="198"/>
        <v>34698.57</v>
      </c>
      <c r="R454" s="28">
        <f t="shared" si="198"/>
        <v>50262.6</v>
      </c>
      <c r="S454" s="27">
        <f t="shared" si="198"/>
        <v>34442.44</v>
      </c>
      <c r="T454" s="28">
        <f t="shared" si="198"/>
        <v>50262.6</v>
      </c>
      <c r="U454" s="27">
        <f t="shared" si="198"/>
        <v>33083.52</v>
      </c>
      <c r="V454" s="28">
        <f t="shared" si="198"/>
        <v>50262.6</v>
      </c>
      <c r="W454" s="27">
        <f t="shared" si="198"/>
        <v>33930.18</v>
      </c>
      <c r="X454" s="28">
        <f t="shared" si="198"/>
        <v>50262.6</v>
      </c>
      <c r="Y454" s="27">
        <f t="shared" si="198"/>
        <v>32587.78</v>
      </c>
      <c r="Z454" s="28">
        <f t="shared" si="198"/>
        <v>50262.6</v>
      </c>
      <c r="AA454" s="27">
        <f t="shared" si="198"/>
        <v>33417.91</v>
      </c>
      <c r="AB454" s="49">
        <f>+N454+P454+R454+T454+V454+X454+Z454</f>
        <v>603151.1999999998</v>
      </c>
      <c r="AC454" s="48">
        <f>O454+Q454+S454+U454+W454+Y454+AA454</f>
        <v>409977.1000000001</v>
      </c>
    </row>
    <row r="455" spans="1:29" ht="15.75" thickBot="1">
      <c r="A455" s="87" t="s">
        <v>93</v>
      </c>
      <c r="B455" s="28">
        <f>+B447+B454</f>
        <v>1047247.15</v>
      </c>
      <c r="C455" s="27">
        <f aca="true" t="shared" si="199" ref="C455:M455">+C447+C454</f>
        <v>56557.42</v>
      </c>
      <c r="D455" s="28">
        <f t="shared" si="199"/>
        <v>1050859.0099999998</v>
      </c>
      <c r="E455" s="27">
        <f t="shared" si="199"/>
        <v>49384.19</v>
      </c>
      <c r="F455" s="28">
        <f t="shared" si="199"/>
        <v>1054484.3900000001</v>
      </c>
      <c r="G455" s="27">
        <f t="shared" si="199"/>
        <v>52781.159999999996</v>
      </c>
      <c r="H455" s="28">
        <f t="shared" si="199"/>
        <v>1058122.47</v>
      </c>
      <c r="I455" s="27">
        <f t="shared" si="199"/>
        <v>49233.689999999995</v>
      </c>
      <c r="J455" s="28">
        <f t="shared" si="199"/>
        <v>1061774.1500000001</v>
      </c>
      <c r="K455" s="27">
        <f t="shared" si="199"/>
        <v>48956.53</v>
      </c>
      <c r="L455" s="28">
        <f t="shared" si="199"/>
        <v>1065438.64</v>
      </c>
      <c r="M455" s="27">
        <f t="shared" si="199"/>
        <v>45508.649999999994</v>
      </c>
      <c r="N455" s="28">
        <f t="shared" si="196"/>
        <v>6337925.81</v>
      </c>
      <c r="O455" s="27">
        <f t="shared" si="196"/>
        <v>302421.64</v>
      </c>
      <c r="P455" s="28">
        <f aca="true" t="shared" si="200" ref="P455:AA455">+P447+P454</f>
        <v>1069116.9400000002</v>
      </c>
      <c r="Q455" s="27">
        <f t="shared" si="200"/>
        <v>45082.42</v>
      </c>
      <c r="R455" s="28">
        <f t="shared" si="200"/>
        <v>1072807.93</v>
      </c>
      <c r="S455" s="27">
        <f t="shared" si="200"/>
        <v>43127.090000000004</v>
      </c>
      <c r="T455" s="28">
        <f t="shared" si="200"/>
        <v>1076512.9000000001</v>
      </c>
      <c r="U455" s="27">
        <f t="shared" si="200"/>
        <v>39831.479999999996</v>
      </c>
      <c r="V455" s="28">
        <f t="shared" si="200"/>
        <v>1080230.73</v>
      </c>
      <c r="W455" s="27">
        <f t="shared" si="200"/>
        <v>39178.74</v>
      </c>
      <c r="X455" s="28">
        <f t="shared" si="200"/>
        <v>1083962.6000000003</v>
      </c>
      <c r="Y455" s="27">
        <f t="shared" si="200"/>
        <v>35986.21</v>
      </c>
      <c r="Z455" s="28">
        <f t="shared" si="200"/>
        <v>1087707.3800000001</v>
      </c>
      <c r="AA455" s="27">
        <f t="shared" si="200"/>
        <v>35180.170000000006</v>
      </c>
      <c r="AB455" s="28">
        <f>+N455+P455+R455+T455+V455+X455+Z455</f>
        <v>12808264.290000001</v>
      </c>
      <c r="AC455" s="27">
        <f>O455+Q455+S455+U455+W455+Y455+AA455</f>
        <v>540807.75</v>
      </c>
    </row>
    <row r="458" spans="1:30" ht="27" thickBot="1">
      <c r="A458" s="21"/>
      <c r="B458" s="21"/>
      <c r="C458" s="21"/>
      <c r="D458" s="21"/>
      <c r="E458" s="21"/>
      <c r="F458" s="21"/>
      <c r="G458" s="21"/>
      <c r="H458" s="22" t="s">
        <v>292</v>
      </c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2" t="str">
        <f>H458</f>
        <v>AÑO 2022</v>
      </c>
      <c r="W458" s="21"/>
      <c r="X458" s="21"/>
      <c r="Y458" s="21"/>
      <c r="Z458" s="21"/>
      <c r="AA458" s="21"/>
      <c r="AB458" s="755"/>
      <c r="AC458" s="755"/>
      <c r="AD458" s="16" t="str">
        <f>V458</f>
        <v>AÑO 2022</v>
      </c>
    </row>
    <row r="459" spans="1:29" s="42" customFormat="1" ht="12.75" thickBot="1">
      <c r="A459" s="12" t="s">
        <v>94</v>
      </c>
      <c r="B459" s="39"/>
      <c r="C459" s="39"/>
      <c r="D459" s="39"/>
      <c r="E459" s="39"/>
      <c r="F459" s="39"/>
      <c r="G459" s="39"/>
      <c r="H459" s="78" t="s">
        <v>132</v>
      </c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78" t="str">
        <f>H459</f>
        <v>EN PESOS</v>
      </c>
      <c r="W459" s="39"/>
      <c r="X459" s="39"/>
      <c r="Y459" s="39"/>
      <c r="Z459" s="39"/>
      <c r="AA459" s="39"/>
      <c r="AB459" s="39"/>
      <c r="AC459" s="38"/>
    </row>
    <row r="460" spans="1:29" ht="12.75">
      <c r="A460" s="134" t="s">
        <v>130</v>
      </c>
      <c r="B460" s="32">
        <f aca="true" t="shared" si="201" ref="B460:AC460">SUM(B461:B463)</f>
        <v>50262.6</v>
      </c>
      <c r="C460" s="31">
        <f t="shared" si="201"/>
        <v>33161.78</v>
      </c>
      <c r="D460" s="32">
        <f t="shared" si="201"/>
        <v>50262.6</v>
      </c>
      <c r="E460" s="31">
        <f t="shared" si="201"/>
        <v>29721.23</v>
      </c>
      <c r="F460" s="32">
        <f t="shared" si="201"/>
        <v>50262.6</v>
      </c>
      <c r="G460" s="31">
        <f t="shared" si="201"/>
        <v>32649.51</v>
      </c>
      <c r="H460" s="32">
        <f t="shared" si="201"/>
        <v>50262.6</v>
      </c>
      <c r="I460" s="31">
        <f t="shared" si="201"/>
        <v>31348.43</v>
      </c>
      <c r="J460" s="32">
        <f t="shared" si="201"/>
        <v>50262.6</v>
      </c>
      <c r="K460" s="31">
        <f t="shared" si="201"/>
        <v>32137.25</v>
      </c>
      <c r="L460" s="32">
        <f t="shared" si="201"/>
        <v>50262.6</v>
      </c>
      <c r="M460" s="31">
        <f t="shared" si="201"/>
        <v>30852.69</v>
      </c>
      <c r="N460" s="32">
        <f t="shared" si="201"/>
        <v>301575.6</v>
      </c>
      <c r="O460" s="31">
        <f t="shared" si="201"/>
        <v>189870.88999999998</v>
      </c>
      <c r="P460" s="32">
        <f t="shared" si="201"/>
        <v>50262.6</v>
      </c>
      <c r="Q460" s="31">
        <f t="shared" si="201"/>
        <v>31624.98</v>
      </c>
      <c r="R460" s="32">
        <f t="shared" si="201"/>
        <v>50262.6</v>
      </c>
      <c r="S460" s="31">
        <f t="shared" si="201"/>
        <v>31368.85</v>
      </c>
      <c r="T460" s="32">
        <f t="shared" si="201"/>
        <v>50262.6</v>
      </c>
      <c r="U460" s="31">
        <f t="shared" si="201"/>
        <v>30109.08</v>
      </c>
      <c r="V460" s="32">
        <f t="shared" si="201"/>
        <v>50262.6</v>
      </c>
      <c r="W460" s="31">
        <f t="shared" si="201"/>
        <v>30856.58</v>
      </c>
      <c r="X460" s="32">
        <f t="shared" si="201"/>
        <v>50262.6</v>
      </c>
      <c r="Y460" s="31">
        <f t="shared" si="201"/>
        <v>29613.34</v>
      </c>
      <c r="Z460" s="32">
        <f t="shared" si="201"/>
        <v>50262.6</v>
      </c>
      <c r="AA460" s="31">
        <f t="shared" si="201"/>
        <v>30344.32</v>
      </c>
      <c r="AB460" s="32">
        <f t="shared" si="201"/>
        <v>603151.1999999998</v>
      </c>
      <c r="AC460" s="31">
        <f t="shared" si="201"/>
        <v>373788.04000000004</v>
      </c>
    </row>
    <row r="461" spans="1:29" ht="13.5" thickBot="1">
      <c r="A461" s="5" t="s">
        <v>22</v>
      </c>
      <c r="B461" s="545">
        <f>'[68]Flujo vencimientos'!B$22</f>
        <v>50262.6</v>
      </c>
      <c r="C461" s="546">
        <f>'[68]Flujo vencimientos'!C$22</f>
        <v>33161.78</v>
      </c>
      <c r="D461" s="545">
        <f>'[68]Flujo vencimientos'!D$22</f>
        <v>50262.6</v>
      </c>
      <c r="E461" s="546">
        <f>'[68]Flujo vencimientos'!E$22</f>
        <v>29721.23</v>
      </c>
      <c r="F461" s="545">
        <f>'[68]Flujo vencimientos'!F$22</f>
        <v>50262.6</v>
      </c>
      <c r="G461" s="546">
        <f>'[68]Flujo vencimientos'!G$22</f>
        <v>32649.51</v>
      </c>
      <c r="H461" s="545">
        <f>'[68]Flujo vencimientos'!H$22</f>
        <v>50262.6</v>
      </c>
      <c r="I461" s="546">
        <f>'[68]Flujo vencimientos'!I$22</f>
        <v>31348.43</v>
      </c>
      <c r="J461" s="545">
        <f>'[68]Flujo vencimientos'!J$22</f>
        <v>50262.6</v>
      </c>
      <c r="K461" s="546">
        <f>'[68]Flujo vencimientos'!K$22</f>
        <v>32137.25</v>
      </c>
      <c r="L461" s="545">
        <f>'[68]Flujo vencimientos'!L$22</f>
        <v>50262.6</v>
      </c>
      <c r="M461" s="546">
        <f>'[68]Flujo vencimientos'!M$22</f>
        <v>30852.69</v>
      </c>
      <c r="N461" s="547">
        <f aca="true" t="shared" si="202" ref="N461:O464">B461+D461+F461+H461+J461+L461</f>
        <v>301575.6</v>
      </c>
      <c r="O461" s="84">
        <f t="shared" si="202"/>
        <v>189870.88999999998</v>
      </c>
      <c r="P461" s="545">
        <f>'[68]Flujo vencimientos'!N$22</f>
        <v>50262.6</v>
      </c>
      <c r="Q461" s="546">
        <f>'[68]Flujo vencimientos'!O$22</f>
        <v>31624.98</v>
      </c>
      <c r="R461" s="545">
        <f>'[68]Flujo vencimientos'!P$22</f>
        <v>50262.6</v>
      </c>
      <c r="S461" s="546">
        <f>'[68]Flujo vencimientos'!Q$22</f>
        <v>31368.85</v>
      </c>
      <c r="T461" s="545">
        <f>'[68]Flujo vencimientos'!R$22</f>
        <v>50262.6</v>
      </c>
      <c r="U461" s="546">
        <f>'[68]Flujo vencimientos'!S$22</f>
        <v>30109.08</v>
      </c>
      <c r="V461" s="545">
        <f>'[68]Flujo vencimientos'!T$22</f>
        <v>50262.6</v>
      </c>
      <c r="W461" s="546">
        <f>'[68]Flujo vencimientos'!U$22</f>
        <v>30856.58</v>
      </c>
      <c r="X461" s="545">
        <f>'[68]Flujo vencimientos'!V$22</f>
        <v>50262.6</v>
      </c>
      <c r="Y461" s="546">
        <f>'[68]Flujo vencimientos'!W$22</f>
        <v>29613.34</v>
      </c>
      <c r="Z461" s="545">
        <f>'[68]Flujo vencimientos'!X$22</f>
        <v>50262.6</v>
      </c>
      <c r="AA461" s="546">
        <f>'[68]Flujo vencimientos'!Y$22</f>
        <v>30344.32</v>
      </c>
      <c r="AB461" s="547">
        <f>+N461+P461+R461+T461+V461+X461+Z461</f>
        <v>603151.1999999998</v>
      </c>
      <c r="AC461" s="84">
        <f>O461+Q461+S461+U461+W461+Y461+AA461</f>
        <v>373788.04000000004</v>
      </c>
    </row>
    <row r="462" spans="1:29" ht="13.5" hidden="1" thickBot="1">
      <c r="A462" s="5" t="s">
        <v>8</v>
      </c>
      <c r="B462" s="545"/>
      <c r="C462" s="546"/>
      <c r="D462" s="545"/>
      <c r="E462" s="546"/>
      <c r="F462" s="545"/>
      <c r="G462" s="546"/>
      <c r="H462" s="545"/>
      <c r="I462" s="546"/>
      <c r="J462" s="545"/>
      <c r="K462" s="546"/>
      <c r="L462" s="545"/>
      <c r="M462" s="546"/>
      <c r="N462" s="547">
        <f t="shared" si="202"/>
        <v>0</v>
      </c>
      <c r="O462" s="84">
        <f t="shared" si="202"/>
        <v>0</v>
      </c>
      <c r="P462" s="545"/>
      <c r="Q462" s="546"/>
      <c r="R462" s="545"/>
      <c r="S462" s="546"/>
      <c r="T462" s="545"/>
      <c r="U462" s="546"/>
      <c r="V462" s="545"/>
      <c r="W462" s="546"/>
      <c r="X462" s="545"/>
      <c r="Y462" s="546"/>
      <c r="Z462" s="545"/>
      <c r="AA462" s="546"/>
      <c r="AB462" s="547">
        <f>+N462+P462+R462+T462+V462+X462+Z462</f>
        <v>0</v>
      </c>
      <c r="AC462" s="84">
        <f>O462+Q462+S462+U462+W462+Y462+AA462</f>
        <v>0</v>
      </c>
    </row>
    <row r="463" spans="1:29" ht="13.5" hidden="1" thickBot="1">
      <c r="A463" s="5" t="s">
        <v>11</v>
      </c>
      <c r="B463" s="545"/>
      <c r="C463" s="546"/>
      <c r="D463" s="545"/>
      <c r="E463" s="546"/>
      <c r="F463" s="545"/>
      <c r="G463" s="546"/>
      <c r="H463" s="545"/>
      <c r="I463" s="546"/>
      <c r="J463" s="545"/>
      <c r="K463" s="546"/>
      <c r="L463" s="545"/>
      <c r="M463" s="546"/>
      <c r="N463" s="547">
        <f t="shared" si="202"/>
        <v>0</v>
      </c>
      <c r="O463" s="84">
        <f t="shared" si="202"/>
        <v>0</v>
      </c>
      <c r="P463" s="545"/>
      <c r="Q463" s="546"/>
      <c r="R463" s="545"/>
      <c r="S463" s="546"/>
      <c r="T463" s="545"/>
      <c r="U463" s="546"/>
      <c r="V463" s="545"/>
      <c r="W463" s="546"/>
      <c r="X463" s="545"/>
      <c r="Y463" s="546"/>
      <c r="Z463" s="545"/>
      <c r="AA463" s="546"/>
      <c r="AB463" s="547">
        <f>+N463+P463+R463+T463+V463+X463+Z463</f>
        <v>0</v>
      </c>
      <c r="AC463" s="84">
        <f>O463+Q463+S463+U463+W463+Y463+AA463</f>
        <v>0</v>
      </c>
    </row>
    <row r="464" spans="1:29" s="42" customFormat="1" ht="12.75" thickBot="1">
      <c r="A464" s="30" t="s">
        <v>121</v>
      </c>
      <c r="B464" s="28">
        <f>B460</f>
        <v>50262.6</v>
      </c>
      <c r="C464" s="27">
        <f>C460</f>
        <v>33161.78</v>
      </c>
      <c r="D464" s="28">
        <f aca="true" t="shared" si="203" ref="D464:M464">D460</f>
        <v>50262.6</v>
      </c>
      <c r="E464" s="27">
        <f t="shared" si="203"/>
        <v>29721.23</v>
      </c>
      <c r="F464" s="28">
        <f t="shared" si="203"/>
        <v>50262.6</v>
      </c>
      <c r="G464" s="27">
        <f t="shared" si="203"/>
        <v>32649.51</v>
      </c>
      <c r="H464" s="28">
        <f t="shared" si="203"/>
        <v>50262.6</v>
      </c>
      <c r="I464" s="27">
        <f t="shared" si="203"/>
        <v>31348.43</v>
      </c>
      <c r="J464" s="28">
        <f t="shared" si="203"/>
        <v>50262.6</v>
      </c>
      <c r="K464" s="27">
        <f t="shared" si="203"/>
        <v>32137.25</v>
      </c>
      <c r="L464" s="28">
        <f t="shared" si="203"/>
        <v>50262.6</v>
      </c>
      <c r="M464" s="27">
        <f t="shared" si="203"/>
        <v>30852.69</v>
      </c>
      <c r="N464" s="49">
        <f t="shared" si="202"/>
        <v>301575.6</v>
      </c>
      <c r="O464" s="48">
        <f t="shared" si="202"/>
        <v>189870.88999999998</v>
      </c>
      <c r="P464" s="28">
        <f aca="true" t="shared" si="204" ref="P464:AA464">P460</f>
        <v>50262.6</v>
      </c>
      <c r="Q464" s="27">
        <f t="shared" si="204"/>
        <v>31624.98</v>
      </c>
      <c r="R464" s="28">
        <f t="shared" si="204"/>
        <v>50262.6</v>
      </c>
      <c r="S464" s="27">
        <f t="shared" si="204"/>
        <v>31368.85</v>
      </c>
      <c r="T464" s="28">
        <f t="shared" si="204"/>
        <v>50262.6</v>
      </c>
      <c r="U464" s="27">
        <f t="shared" si="204"/>
        <v>30109.08</v>
      </c>
      <c r="V464" s="28">
        <f t="shared" si="204"/>
        <v>50262.6</v>
      </c>
      <c r="W464" s="27">
        <f t="shared" si="204"/>
        <v>30856.58</v>
      </c>
      <c r="X464" s="28">
        <f t="shared" si="204"/>
        <v>50262.6</v>
      </c>
      <c r="Y464" s="27">
        <f t="shared" si="204"/>
        <v>29613.34</v>
      </c>
      <c r="Z464" s="28">
        <f t="shared" si="204"/>
        <v>50262.6</v>
      </c>
      <c r="AA464" s="27">
        <f t="shared" si="204"/>
        <v>30344.32</v>
      </c>
      <c r="AB464" s="49">
        <f>+N464+P464+R464+T464+V464+X464+Z464</f>
        <v>603151.1999999998</v>
      </c>
      <c r="AC464" s="48">
        <f>O464+Q464+S464+U464+W464+Y464+AA464</f>
        <v>373788.04000000004</v>
      </c>
    </row>
    <row r="467" spans="1:30" ht="27" thickBot="1">
      <c r="A467" s="21"/>
      <c r="B467" s="21"/>
      <c r="C467" s="21"/>
      <c r="D467" s="21"/>
      <c r="E467" s="21"/>
      <c r="F467" s="21"/>
      <c r="G467" s="21"/>
      <c r="H467" s="22" t="s">
        <v>293</v>
      </c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2" t="str">
        <f>H467</f>
        <v>AÑO 2023</v>
      </c>
      <c r="W467" s="21"/>
      <c r="X467" s="21"/>
      <c r="Y467" s="21"/>
      <c r="Z467" s="21"/>
      <c r="AA467" s="21"/>
      <c r="AB467" s="755"/>
      <c r="AC467" s="755"/>
      <c r="AD467" s="16" t="str">
        <f>V467</f>
        <v>AÑO 2023</v>
      </c>
    </row>
    <row r="468" spans="1:29" s="42" customFormat="1" ht="12.75" thickBot="1">
      <c r="A468" s="12" t="s">
        <v>94</v>
      </c>
      <c r="B468" s="39"/>
      <c r="C468" s="39"/>
      <c r="D468" s="39"/>
      <c r="E468" s="39"/>
      <c r="F468" s="39"/>
      <c r="G468" s="39"/>
      <c r="H468" s="78" t="s">
        <v>132</v>
      </c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78" t="str">
        <f>H468</f>
        <v>EN PESOS</v>
      </c>
      <c r="W468" s="39"/>
      <c r="X468" s="39"/>
      <c r="Y468" s="39"/>
      <c r="Z468" s="39"/>
      <c r="AA468" s="39"/>
      <c r="AB468" s="39"/>
      <c r="AC468" s="38"/>
    </row>
    <row r="469" spans="1:29" ht="12.75">
      <c r="A469" s="134" t="s">
        <v>130</v>
      </c>
      <c r="B469" s="32">
        <f aca="true" t="shared" si="205" ref="B469:AC469">SUM(B470:B472)</f>
        <v>50262.6</v>
      </c>
      <c r="C469" s="31">
        <f t="shared" si="205"/>
        <v>30088.18</v>
      </c>
      <c r="D469" s="32">
        <f t="shared" si="205"/>
        <v>50262.6</v>
      </c>
      <c r="E469" s="31">
        <f t="shared" si="205"/>
        <v>26945.08</v>
      </c>
      <c r="F469" s="32">
        <f t="shared" si="205"/>
        <v>50262.6</v>
      </c>
      <c r="G469" s="31">
        <f t="shared" si="205"/>
        <v>29575.92</v>
      </c>
      <c r="H469" s="32">
        <f t="shared" si="205"/>
        <v>50262.6</v>
      </c>
      <c r="I469" s="31">
        <f t="shared" si="205"/>
        <v>28373.99</v>
      </c>
      <c r="J469" s="32">
        <f t="shared" si="205"/>
        <v>50262.6</v>
      </c>
      <c r="K469" s="31">
        <f t="shared" si="205"/>
        <v>29063.65</v>
      </c>
      <c r="L469" s="32">
        <f t="shared" si="205"/>
        <v>50262.6</v>
      </c>
      <c r="M469" s="31">
        <f t="shared" si="205"/>
        <v>27878.25</v>
      </c>
      <c r="N469" s="32">
        <f t="shared" si="205"/>
        <v>301575.6</v>
      </c>
      <c r="O469" s="31">
        <f t="shared" si="205"/>
        <v>171925.07</v>
      </c>
      <c r="P469" s="32">
        <f t="shared" si="205"/>
        <v>50262.6</v>
      </c>
      <c r="Q469" s="31">
        <f t="shared" si="205"/>
        <v>28551.39</v>
      </c>
      <c r="R469" s="32">
        <f t="shared" si="205"/>
        <v>50262.6</v>
      </c>
      <c r="S469" s="31">
        <f t="shared" si="205"/>
        <v>28295.26</v>
      </c>
      <c r="T469" s="32">
        <f t="shared" si="205"/>
        <v>50262.6</v>
      </c>
      <c r="U469" s="31">
        <f t="shared" si="205"/>
        <v>27134.64</v>
      </c>
      <c r="V469" s="32">
        <f t="shared" si="205"/>
        <v>50262.6</v>
      </c>
      <c r="W469" s="31">
        <f t="shared" si="205"/>
        <v>27782.99</v>
      </c>
      <c r="X469" s="32">
        <f t="shared" si="205"/>
        <v>50262.6</v>
      </c>
      <c r="Y469" s="31">
        <f t="shared" si="205"/>
        <v>26638.89</v>
      </c>
      <c r="Z469" s="32">
        <f t="shared" si="205"/>
        <v>50262.6</v>
      </c>
      <c r="AA469" s="31">
        <f t="shared" si="205"/>
        <v>27270.72</v>
      </c>
      <c r="AB469" s="32">
        <f t="shared" si="205"/>
        <v>603151.1999999998</v>
      </c>
      <c r="AC469" s="31">
        <f t="shared" si="205"/>
        <v>337598.9600000001</v>
      </c>
    </row>
    <row r="470" spans="1:29" ht="13.5" thickBot="1">
      <c r="A470" s="5" t="s">
        <v>22</v>
      </c>
      <c r="B470" s="545">
        <f>'[68]Flujo vencimientos'!B$23</f>
        <v>50262.6</v>
      </c>
      <c r="C470" s="546">
        <f>'[68]Flujo vencimientos'!C$23</f>
        <v>30088.18</v>
      </c>
      <c r="D470" s="545">
        <f>'[68]Flujo vencimientos'!D$23</f>
        <v>50262.6</v>
      </c>
      <c r="E470" s="546">
        <f>'[68]Flujo vencimientos'!E$23</f>
        <v>26945.08</v>
      </c>
      <c r="F470" s="545">
        <f>'[68]Flujo vencimientos'!F$23</f>
        <v>50262.6</v>
      </c>
      <c r="G470" s="546">
        <f>'[68]Flujo vencimientos'!G$23</f>
        <v>29575.92</v>
      </c>
      <c r="H470" s="545">
        <f>'[68]Flujo vencimientos'!H$23</f>
        <v>50262.6</v>
      </c>
      <c r="I470" s="546">
        <f>'[68]Flujo vencimientos'!I$23</f>
        <v>28373.99</v>
      </c>
      <c r="J470" s="545">
        <f>'[68]Flujo vencimientos'!J$23</f>
        <v>50262.6</v>
      </c>
      <c r="K470" s="546">
        <f>'[68]Flujo vencimientos'!K$23</f>
        <v>29063.65</v>
      </c>
      <c r="L470" s="545">
        <f>'[68]Flujo vencimientos'!L$23</f>
        <v>50262.6</v>
      </c>
      <c r="M470" s="546">
        <f>'[68]Flujo vencimientos'!M$23</f>
        <v>27878.25</v>
      </c>
      <c r="N470" s="547">
        <f aca="true" t="shared" si="206" ref="N470:O473">B470+D470+F470+H470+J470+L470</f>
        <v>301575.6</v>
      </c>
      <c r="O470" s="84">
        <f t="shared" si="206"/>
        <v>171925.07</v>
      </c>
      <c r="P470" s="545">
        <f>'[68]Flujo vencimientos'!N$23</f>
        <v>50262.6</v>
      </c>
      <c r="Q470" s="546">
        <f>'[68]Flujo vencimientos'!O$23</f>
        <v>28551.39</v>
      </c>
      <c r="R470" s="545">
        <f>'[68]Flujo vencimientos'!P$23</f>
        <v>50262.6</v>
      </c>
      <c r="S470" s="546">
        <f>'[68]Flujo vencimientos'!Q$23</f>
        <v>28295.26</v>
      </c>
      <c r="T470" s="545">
        <f>'[68]Flujo vencimientos'!R$23</f>
        <v>50262.6</v>
      </c>
      <c r="U470" s="546">
        <f>'[68]Flujo vencimientos'!S$23</f>
        <v>27134.64</v>
      </c>
      <c r="V470" s="545">
        <f>'[68]Flujo vencimientos'!T$23</f>
        <v>50262.6</v>
      </c>
      <c r="W470" s="546">
        <f>'[68]Flujo vencimientos'!U$23</f>
        <v>27782.99</v>
      </c>
      <c r="X470" s="545">
        <f>'[68]Flujo vencimientos'!V$23</f>
        <v>50262.6</v>
      </c>
      <c r="Y470" s="546">
        <f>'[68]Flujo vencimientos'!W$23</f>
        <v>26638.89</v>
      </c>
      <c r="Z470" s="545">
        <f>'[68]Flujo vencimientos'!X$23</f>
        <v>50262.6</v>
      </c>
      <c r="AA470" s="546">
        <f>'[68]Flujo vencimientos'!Y$23</f>
        <v>27270.72</v>
      </c>
      <c r="AB470" s="547">
        <f>+N470+P470+R470+T470+V470+X470+Z470</f>
        <v>603151.1999999998</v>
      </c>
      <c r="AC470" s="84">
        <f>O470+Q470+S470+U470+W470+Y470+AA470</f>
        <v>337598.9600000001</v>
      </c>
    </row>
    <row r="471" spans="1:29" ht="13.5" hidden="1" thickBot="1">
      <c r="A471" s="5" t="s">
        <v>8</v>
      </c>
      <c r="B471" s="545"/>
      <c r="C471" s="546"/>
      <c r="D471" s="545"/>
      <c r="E471" s="546"/>
      <c r="F471" s="545"/>
      <c r="G471" s="546"/>
      <c r="H471" s="545"/>
      <c r="I471" s="546"/>
      <c r="J471" s="545"/>
      <c r="K471" s="546"/>
      <c r="L471" s="545"/>
      <c r="M471" s="546"/>
      <c r="N471" s="547">
        <f t="shared" si="206"/>
        <v>0</v>
      </c>
      <c r="O471" s="84">
        <f t="shared" si="206"/>
        <v>0</v>
      </c>
      <c r="P471" s="545"/>
      <c r="Q471" s="546"/>
      <c r="R471" s="545"/>
      <c r="S471" s="546"/>
      <c r="T471" s="545"/>
      <c r="U471" s="546"/>
      <c r="V471" s="545"/>
      <c r="W471" s="546"/>
      <c r="X471" s="545"/>
      <c r="Y471" s="546"/>
      <c r="Z471" s="545"/>
      <c r="AA471" s="546"/>
      <c r="AB471" s="547">
        <f>+N471+P471+R471+T471+V471+X471+Z471</f>
        <v>0</v>
      </c>
      <c r="AC471" s="84">
        <f>O471+Q471+S471+U471+W471+Y471+AA471</f>
        <v>0</v>
      </c>
    </row>
    <row r="472" spans="1:29" ht="13.5" hidden="1" thickBot="1">
      <c r="A472" s="5" t="s">
        <v>11</v>
      </c>
      <c r="B472" s="545"/>
      <c r="C472" s="546"/>
      <c r="D472" s="545"/>
      <c r="E472" s="546"/>
      <c r="F472" s="545"/>
      <c r="G472" s="546"/>
      <c r="H472" s="545"/>
      <c r="I472" s="546"/>
      <c r="J472" s="545"/>
      <c r="K472" s="546"/>
      <c r="L472" s="545"/>
      <c r="M472" s="546"/>
      <c r="N472" s="547">
        <f t="shared" si="206"/>
        <v>0</v>
      </c>
      <c r="O472" s="84">
        <f t="shared" si="206"/>
        <v>0</v>
      </c>
      <c r="P472" s="545"/>
      <c r="Q472" s="546"/>
      <c r="R472" s="545"/>
      <c r="S472" s="546"/>
      <c r="T472" s="545"/>
      <c r="U472" s="546"/>
      <c r="V472" s="545"/>
      <c r="W472" s="546"/>
      <c r="X472" s="545"/>
      <c r="Y472" s="546"/>
      <c r="Z472" s="545"/>
      <c r="AA472" s="546"/>
      <c r="AB472" s="547">
        <f>+N472+P472+R472+T472+V472+X472+Z472</f>
        <v>0</v>
      </c>
      <c r="AC472" s="84">
        <f>O472+Q472+S472+U472+W472+Y472+AA472</f>
        <v>0</v>
      </c>
    </row>
    <row r="473" spans="1:29" s="42" customFormat="1" ht="12.75" thickBot="1">
      <c r="A473" s="30" t="s">
        <v>121</v>
      </c>
      <c r="B473" s="28">
        <f>B469</f>
        <v>50262.6</v>
      </c>
      <c r="C473" s="27">
        <f>C469</f>
        <v>30088.18</v>
      </c>
      <c r="D473" s="28">
        <f aca="true" t="shared" si="207" ref="D473:M473">D469</f>
        <v>50262.6</v>
      </c>
      <c r="E473" s="27">
        <f t="shared" si="207"/>
        <v>26945.08</v>
      </c>
      <c r="F473" s="28">
        <f t="shared" si="207"/>
        <v>50262.6</v>
      </c>
      <c r="G473" s="27">
        <f t="shared" si="207"/>
        <v>29575.92</v>
      </c>
      <c r="H473" s="28">
        <f t="shared" si="207"/>
        <v>50262.6</v>
      </c>
      <c r="I473" s="27">
        <f t="shared" si="207"/>
        <v>28373.99</v>
      </c>
      <c r="J473" s="28">
        <f t="shared" si="207"/>
        <v>50262.6</v>
      </c>
      <c r="K473" s="27">
        <f t="shared" si="207"/>
        <v>29063.65</v>
      </c>
      <c r="L473" s="28">
        <f t="shared" si="207"/>
        <v>50262.6</v>
      </c>
      <c r="M473" s="27">
        <f t="shared" si="207"/>
        <v>27878.25</v>
      </c>
      <c r="N473" s="49">
        <f t="shared" si="206"/>
        <v>301575.6</v>
      </c>
      <c r="O473" s="48">
        <f t="shared" si="206"/>
        <v>171925.07</v>
      </c>
      <c r="P473" s="28">
        <f aca="true" t="shared" si="208" ref="P473:AA473">P469</f>
        <v>50262.6</v>
      </c>
      <c r="Q473" s="27">
        <f t="shared" si="208"/>
        <v>28551.39</v>
      </c>
      <c r="R473" s="28">
        <f t="shared" si="208"/>
        <v>50262.6</v>
      </c>
      <c r="S473" s="27">
        <f t="shared" si="208"/>
        <v>28295.26</v>
      </c>
      <c r="T473" s="28">
        <f t="shared" si="208"/>
        <v>50262.6</v>
      </c>
      <c r="U473" s="27">
        <f t="shared" si="208"/>
        <v>27134.64</v>
      </c>
      <c r="V473" s="28">
        <f t="shared" si="208"/>
        <v>50262.6</v>
      </c>
      <c r="W473" s="27">
        <f t="shared" si="208"/>
        <v>27782.99</v>
      </c>
      <c r="X473" s="28">
        <f t="shared" si="208"/>
        <v>50262.6</v>
      </c>
      <c r="Y473" s="27">
        <f t="shared" si="208"/>
        <v>26638.89</v>
      </c>
      <c r="Z473" s="28">
        <f t="shared" si="208"/>
        <v>50262.6</v>
      </c>
      <c r="AA473" s="27">
        <f t="shared" si="208"/>
        <v>27270.72</v>
      </c>
      <c r="AB473" s="49">
        <f>+N473+P473+R473+T473+V473+X473+Z473</f>
        <v>603151.1999999998</v>
      </c>
      <c r="AC473" s="48">
        <f>O473+Q473+S473+U473+W473+Y473+AA473</f>
        <v>337598.9600000001</v>
      </c>
    </row>
    <row r="477" spans="1:30" ht="27" thickBot="1">
      <c r="A477" s="21"/>
      <c r="B477" s="21"/>
      <c r="C477" s="21"/>
      <c r="D477" s="21"/>
      <c r="E477" s="21"/>
      <c r="F477" s="21"/>
      <c r="G477" s="21"/>
      <c r="H477" s="22" t="s">
        <v>294</v>
      </c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2" t="str">
        <f>H477</f>
        <v>AÑO 2024</v>
      </c>
      <c r="W477" s="21"/>
      <c r="X477" s="21"/>
      <c r="Y477" s="21"/>
      <c r="Z477" s="21"/>
      <c r="AA477" s="21"/>
      <c r="AB477" s="755"/>
      <c r="AC477" s="755"/>
      <c r="AD477" s="16" t="str">
        <f>V477</f>
        <v>AÑO 2024</v>
      </c>
    </row>
    <row r="478" spans="1:29" s="42" customFormat="1" ht="12.75" thickBot="1">
      <c r="A478" s="12" t="s">
        <v>94</v>
      </c>
      <c r="B478" s="39"/>
      <c r="C478" s="39"/>
      <c r="D478" s="39"/>
      <c r="E478" s="39"/>
      <c r="F478" s="39"/>
      <c r="G478" s="39"/>
      <c r="H478" s="78" t="s">
        <v>132</v>
      </c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78" t="str">
        <f>H478</f>
        <v>EN PESOS</v>
      </c>
      <c r="W478" s="39"/>
      <c r="X478" s="39"/>
      <c r="Y478" s="39"/>
      <c r="Z478" s="39"/>
      <c r="AA478" s="39"/>
      <c r="AB478" s="39"/>
      <c r="AC478" s="38"/>
    </row>
    <row r="479" spans="1:29" ht="12.75">
      <c r="A479" s="134" t="s">
        <v>130</v>
      </c>
      <c r="B479" s="32">
        <f aca="true" t="shared" si="209" ref="B479:AC479">SUM(B480:B482)</f>
        <v>50262.6</v>
      </c>
      <c r="C479" s="31">
        <f t="shared" si="209"/>
        <v>27014.59</v>
      </c>
      <c r="D479" s="32">
        <f t="shared" si="209"/>
        <v>50262.6</v>
      </c>
      <c r="E479" s="31">
        <f t="shared" si="209"/>
        <v>25032.11</v>
      </c>
      <c r="F479" s="32">
        <f t="shared" si="209"/>
        <v>50262.6</v>
      </c>
      <c r="G479" s="31">
        <f t="shared" si="209"/>
        <v>26502.33</v>
      </c>
      <c r="H479" s="32">
        <f t="shared" si="209"/>
        <v>50262.6</v>
      </c>
      <c r="I479" s="31">
        <f t="shared" si="209"/>
        <v>25399.54</v>
      </c>
      <c r="J479" s="32">
        <f t="shared" si="209"/>
        <v>50262.6</v>
      </c>
      <c r="K479" s="31">
        <f t="shared" si="209"/>
        <v>25990.06</v>
      </c>
      <c r="L479" s="32">
        <f t="shared" si="209"/>
        <v>50262.6</v>
      </c>
      <c r="M479" s="31">
        <f t="shared" si="209"/>
        <v>24903.8</v>
      </c>
      <c r="N479" s="32">
        <f t="shared" si="209"/>
        <v>301575.6</v>
      </c>
      <c r="O479" s="31">
        <f t="shared" si="209"/>
        <v>154842.43</v>
      </c>
      <c r="P479" s="32">
        <f t="shared" si="209"/>
        <v>50262.6</v>
      </c>
      <c r="Q479" s="31">
        <f t="shared" si="209"/>
        <v>25477.8</v>
      </c>
      <c r="R479" s="32">
        <f t="shared" si="209"/>
        <v>50262.6</v>
      </c>
      <c r="S479" s="31">
        <f t="shared" si="209"/>
        <v>25221.66</v>
      </c>
      <c r="T479" s="32">
        <f t="shared" si="209"/>
        <v>50262.6</v>
      </c>
      <c r="U479" s="31">
        <f t="shared" si="209"/>
        <v>24160.19</v>
      </c>
      <c r="V479" s="32">
        <f t="shared" si="209"/>
        <v>50262.6</v>
      </c>
      <c r="W479" s="31">
        <f t="shared" si="209"/>
        <v>24709.4</v>
      </c>
      <c r="X479" s="32">
        <f t="shared" si="209"/>
        <v>50262.6</v>
      </c>
      <c r="Y479" s="31">
        <f t="shared" si="209"/>
        <v>23664.45</v>
      </c>
      <c r="Z479" s="32">
        <f t="shared" si="209"/>
        <v>50262.6</v>
      </c>
      <c r="AA479" s="31">
        <f t="shared" si="209"/>
        <v>24197.13</v>
      </c>
      <c r="AB479" s="32">
        <f t="shared" si="209"/>
        <v>603151.1999999998</v>
      </c>
      <c r="AC479" s="31">
        <f t="shared" si="209"/>
        <v>302273.06</v>
      </c>
    </row>
    <row r="480" spans="1:29" ht="13.5" thickBot="1">
      <c r="A480" s="5" t="s">
        <v>22</v>
      </c>
      <c r="B480" s="545">
        <f>'[68]Flujo vencimientos'!B$24</f>
        <v>50262.6</v>
      </c>
      <c r="C480" s="546">
        <f>'[68]Flujo vencimientos'!C$24</f>
        <v>27014.59</v>
      </c>
      <c r="D480" s="545">
        <f>'[68]Flujo vencimientos'!D$24</f>
        <v>50262.6</v>
      </c>
      <c r="E480" s="546">
        <f>'[68]Flujo vencimientos'!E$24</f>
        <v>25032.11</v>
      </c>
      <c r="F480" s="545">
        <f>'[68]Flujo vencimientos'!F$24</f>
        <v>50262.6</v>
      </c>
      <c r="G480" s="546">
        <f>'[68]Flujo vencimientos'!G$24</f>
        <v>26502.33</v>
      </c>
      <c r="H480" s="545">
        <f>'[68]Flujo vencimientos'!H$24</f>
        <v>50262.6</v>
      </c>
      <c r="I480" s="546">
        <f>'[68]Flujo vencimientos'!I$24</f>
        <v>25399.54</v>
      </c>
      <c r="J480" s="545">
        <f>'[68]Flujo vencimientos'!J$24</f>
        <v>50262.6</v>
      </c>
      <c r="K480" s="546">
        <f>'[68]Flujo vencimientos'!K$24</f>
        <v>25990.06</v>
      </c>
      <c r="L480" s="545">
        <f>'[68]Flujo vencimientos'!L$24</f>
        <v>50262.6</v>
      </c>
      <c r="M480" s="546">
        <f>'[68]Flujo vencimientos'!M$24</f>
        <v>24903.8</v>
      </c>
      <c r="N480" s="547">
        <f aca="true" t="shared" si="210" ref="N480:O483">B480+D480+F480+H480+J480+L480</f>
        <v>301575.6</v>
      </c>
      <c r="O480" s="84">
        <f t="shared" si="210"/>
        <v>154842.43</v>
      </c>
      <c r="P480" s="545">
        <f>'[68]Flujo vencimientos'!N$24</f>
        <v>50262.6</v>
      </c>
      <c r="Q480" s="546">
        <f>'[68]Flujo vencimientos'!O$24</f>
        <v>25477.8</v>
      </c>
      <c r="R480" s="545">
        <f>'[68]Flujo vencimientos'!P$24</f>
        <v>50262.6</v>
      </c>
      <c r="S480" s="546">
        <f>'[68]Flujo vencimientos'!Q$24</f>
        <v>25221.66</v>
      </c>
      <c r="T480" s="545">
        <f>'[68]Flujo vencimientos'!R$24</f>
        <v>50262.6</v>
      </c>
      <c r="U480" s="546">
        <f>'[68]Flujo vencimientos'!S$24</f>
        <v>24160.19</v>
      </c>
      <c r="V480" s="545">
        <f>'[68]Flujo vencimientos'!T$24</f>
        <v>50262.6</v>
      </c>
      <c r="W480" s="546">
        <f>'[68]Flujo vencimientos'!U$24</f>
        <v>24709.4</v>
      </c>
      <c r="X480" s="545">
        <f>'[68]Flujo vencimientos'!V$24</f>
        <v>50262.6</v>
      </c>
      <c r="Y480" s="546">
        <f>'[68]Flujo vencimientos'!W$24</f>
        <v>23664.45</v>
      </c>
      <c r="Z480" s="545">
        <f>'[68]Flujo vencimientos'!X$24</f>
        <v>50262.6</v>
      </c>
      <c r="AA480" s="546">
        <f>'[68]Flujo vencimientos'!Y$24</f>
        <v>24197.13</v>
      </c>
      <c r="AB480" s="547">
        <f>+N480+P480+R480+T480+V480+X480+Z480</f>
        <v>603151.1999999998</v>
      </c>
      <c r="AC480" s="84">
        <f>O480+Q480+S480+U480+W480+Y480+AA480</f>
        <v>302273.06</v>
      </c>
    </row>
    <row r="481" spans="1:29" ht="13.5" hidden="1" thickBot="1">
      <c r="A481" s="5" t="s">
        <v>8</v>
      </c>
      <c r="B481" s="545"/>
      <c r="C481" s="546"/>
      <c r="D481" s="545"/>
      <c r="E481" s="546"/>
      <c r="F481" s="545"/>
      <c r="G481" s="546"/>
      <c r="H481" s="545"/>
      <c r="I481" s="546"/>
      <c r="J481" s="545"/>
      <c r="K481" s="546"/>
      <c r="L481" s="545"/>
      <c r="M481" s="546"/>
      <c r="N481" s="547">
        <f t="shared" si="210"/>
        <v>0</v>
      </c>
      <c r="O481" s="84">
        <f t="shared" si="210"/>
        <v>0</v>
      </c>
      <c r="P481" s="545"/>
      <c r="Q481" s="546"/>
      <c r="R481" s="545"/>
      <c r="S481" s="546"/>
      <c r="T481" s="545"/>
      <c r="U481" s="546"/>
      <c r="V481" s="545"/>
      <c r="W481" s="546"/>
      <c r="X481" s="545"/>
      <c r="Y481" s="546"/>
      <c r="Z481" s="545"/>
      <c r="AA481" s="546"/>
      <c r="AB481" s="547">
        <f>+N481+P481+R481+T481+V481+X481+Z481</f>
        <v>0</v>
      </c>
      <c r="AC481" s="84">
        <f>O481+Q481+S481+U481+W481+Y481+AA481</f>
        <v>0</v>
      </c>
    </row>
    <row r="482" spans="1:29" ht="13.5" hidden="1" thickBot="1">
      <c r="A482" s="5" t="s">
        <v>11</v>
      </c>
      <c r="B482" s="545"/>
      <c r="C482" s="546"/>
      <c r="D482" s="545"/>
      <c r="E482" s="546"/>
      <c r="F482" s="545"/>
      <c r="G482" s="546"/>
      <c r="H482" s="545"/>
      <c r="I482" s="546"/>
      <c r="J482" s="545"/>
      <c r="K482" s="546"/>
      <c r="L482" s="545"/>
      <c r="M482" s="546"/>
      <c r="N482" s="547">
        <f t="shared" si="210"/>
        <v>0</v>
      </c>
      <c r="O482" s="84">
        <f t="shared" si="210"/>
        <v>0</v>
      </c>
      <c r="P482" s="545"/>
      <c r="Q482" s="546"/>
      <c r="R482" s="545"/>
      <c r="S482" s="546"/>
      <c r="T482" s="545"/>
      <c r="U482" s="546"/>
      <c r="V482" s="545"/>
      <c r="W482" s="546"/>
      <c r="X482" s="545"/>
      <c r="Y482" s="546"/>
      <c r="Z482" s="545"/>
      <c r="AA482" s="546"/>
      <c r="AB482" s="547">
        <f>+N482+P482+R482+T482+V482+X482+Z482</f>
        <v>0</v>
      </c>
      <c r="AC482" s="84">
        <f>O482+Q482+S482+U482+W482+Y482+AA482</f>
        <v>0</v>
      </c>
    </row>
    <row r="483" spans="1:29" s="42" customFormat="1" ht="12.75" thickBot="1">
      <c r="A483" s="30" t="s">
        <v>121</v>
      </c>
      <c r="B483" s="28">
        <f>B479</f>
        <v>50262.6</v>
      </c>
      <c r="C483" s="27">
        <f>C479</f>
        <v>27014.59</v>
      </c>
      <c r="D483" s="28">
        <f aca="true" t="shared" si="211" ref="D483:M483">D479</f>
        <v>50262.6</v>
      </c>
      <c r="E483" s="27">
        <f t="shared" si="211"/>
        <v>25032.11</v>
      </c>
      <c r="F483" s="28">
        <f t="shared" si="211"/>
        <v>50262.6</v>
      </c>
      <c r="G483" s="27">
        <f t="shared" si="211"/>
        <v>26502.33</v>
      </c>
      <c r="H483" s="28">
        <f t="shared" si="211"/>
        <v>50262.6</v>
      </c>
      <c r="I483" s="27">
        <f t="shared" si="211"/>
        <v>25399.54</v>
      </c>
      <c r="J483" s="28">
        <f t="shared" si="211"/>
        <v>50262.6</v>
      </c>
      <c r="K483" s="27">
        <f t="shared" si="211"/>
        <v>25990.06</v>
      </c>
      <c r="L483" s="28">
        <f t="shared" si="211"/>
        <v>50262.6</v>
      </c>
      <c r="M483" s="27">
        <f t="shared" si="211"/>
        <v>24903.8</v>
      </c>
      <c r="N483" s="49">
        <f t="shared" si="210"/>
        <v>301575.6</v>
      </c>
      <c r="O483" s="48">
        <f t="shared" si="210"/>
        <v>154842.43</v>
      </c>
      <c r="P483" s="28">
        <f aca="true" t="shared" si="212" ref="P483:AA483">P479</f>
        <v>50262.6</v>
      </c>
      <c r="Q483" s="27">
        <f t="shared" si="212"/>
        <v>25477.8</v>
      </c>
      <c r="R483" s="28">
        <f t="shared" si="212"/>
        <v>50262.6</v>
      </c>
      <c r="S483" s="27">
        <f t="shared" si="212"/>
        <v>25221.66</v>
      </c>
      <c r="T483" s="28">
        <f t="shared" si="212"/>
        <v>50262.6</v>
      </c>
      <c r="U483" s="27">
        <f t="shared" si="212"/>
        <v>24160.19</v>
      </c>
      <c r="V483" s="28">
        <f t="shared" si="212"/>
        <v>50262.6</v>
      </c>
      <c r="W483" s="27">
        <f t="shared" si="212"/>
        <v>24709.4</v>
      </c>
      <c r="X483" s="28">
        <f t="shared" si="212"/>
        <v>50262.6</v>
      </c>
      <c r="Y483" s="27">
        <f t="shared" si="212"/>
        <v>23664.45</v>
      </c>
      <c r="Z483" s="28">
        <f t="shared" si="212"/>
        <v>50262.6</v>
      </c>
      <c r="AA483" s="27">
        <f t="shared" si="212"/>
        <v>24197.13</v>
      </c>
      <c r="AB483" s="49">
        <f>+N483+P483+R483+T483+V483+X483+Z483</f>
        <v>603151.1999999998</v>
      </c>
      <c r="AC483" s="48">
        <f>O483+Q483+S483+U483+W483+Y483+AA483</f>
        <v>302273.06</v>
      </c>
    </row>
    <row r="486" spans="1:30" ht="27" thickBot="1">
      <c r="A486" s="21"/>
      <c r="B486" s="21"/>
      <c r="C486" s="21"/>
      <c r="D486" s="21"/>
      <c r="E486" s="21"/>
      <c r="F486" s="21"/>
      <c r="G486" s="21"/>
      <c r="H486" s="22" t="s">
        <v>295</v>
      </c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2" t="str">
        <f>H486</f>
        <v>AÑO 2025</v>
      </c>
      <c r="W486" s="21"/>
      <c r="X486" s="21"/>
      <c r="Y486" s="21"/>
      <c r="Z486" s="21"/>
      <c r="AA486" s="21"/>
      <c r="AB486" s="755"/>
      <c r="AC486" s="755"/>
      <c r="AD486" s="16" t="str">
        <f>V486</f>
        <v>AÑO 2025</v>
      </c>
    </row>
    <row r="487" spans="1:29" s="42" customFormat="1" ht="12.75" thickBot="1">
      <c r="A487" s="12" t="s">
        <v>94</v>
      </c>
      <c r="B487" s="39"/>
      <c r="C487" s="39"/>
      <c r="D487" s="39"/>
      <c r="E487" s="39"/>
      <c r="F487" s="39"/>
      <c r="G487" s="39"/>
      <c r="H487" s="78" t="s">
        <v>132</v>
      </c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78" t="str">
        <f>H487</f>
        <v>EN PESOS</v>
      </c>
      <c r="W487" s="39"/>
      <c r="X487" s="39"/>
      <c r="Y487" s="39"/>
      <c r="Z487" s="39"/>
      <c r="AA487" s="39"/>
      <c r="AB487" s="39"/>
      <c r="AC487" s="38"/>
    </row>
    <row r="488" spans="1:29" ht="12.75">
      <c r="A488" s="134" t="s">
        <v>130</v>
      </c>
      <c r="B488" s="32">
        <f aca="true" t="shared" si="213" ref="B488:AC488">SUM(B489:B491)</f>
        <v>50262.6</v>
      </c>
      <c r="C488" s="31">
        <f t="shared" si="213"/>
        <v>23941</v>
      </c>
      <c r="D488" s="32">
        <f t="shared" si="213"/>
        <v>50262.6</v>
      </c>
      <c r="E488" s="31">
        <f t="shared" si="213"/>
        <v>21392.78</v>
      </c>
      <c r="F488" s="32">
        <f t="shared" si="213"/>
        <v>50262.6</v>
      </c>
      <c r="G488" s="31">
        <f t="shared" si="213"/>
        <v>23428.73</v>
      </c>
      <c r="H488" s="32">
        <f t="shared" si="213"/>
        <v>50262.6</v>
      </c>
      <c r="I488" s="31">
        <f t="shared" si="213"/>
        <v>22425.1</v>
      </c>
      <c r="J488" s="32">
        <f t="shared" si="213"/>
        <v>50262.6</v>
      </c>
      <c r="K488" s="31">
        <f t="shared" si="213"/>
        <v>22916.47</v>
      </c>
      <c r="L488" s="32">
        <f t="shared" si="213"/>
        <v>50262.6</v>
      </c>
      <c r="M488" s="31">
        <f t="shared" si="213"/>
        <v>21929.36</v>
      </c>
      <c r="N488" s="32">
        <f t="shared" si="213"/>
        <v>301575.6</v>
      </c>
      <c r="O488" s="31">
        <f t="shared" si="213"/>
        <v>136033.44</v>
      </c>
      <c r="P488" s="32">
        <f t="shared" si="213"/>
        <v>50262.6</v>
      </c>
      <c r="Q488" s="31">
        <f t="shared" si="213"/>
        <v>22404.2</v>
      </c>
      <c r="R488" s="32">
        <f t="shared" si="213"/>
        <v>50262.6</v>
      </c>
      <c r="S488" s="31">
        <f t="shared" si="213"/>
        <v>22148.07</v>
      </c>
      <c r="T488" s="32">
        <f t="shared" si="213"/>
        <v>50262.6</v>
      </c>
      <c r="U488" s="31">
        <f t="shared" si="213"/>
        <v>21185.75</v>
      </c>
      <c r="V488" s="32">
        <f t="shared" si="213"/>
        <v>50262.6</v>
      </c>
      <c r="W488" s="31">
        <f t="shared" si="213"/>
        <v>21635.81</v>
      </c>
      <c r="X488" s="32">
        <f t="shared" si="213"/>
        <v>50262.6</v>
      </c>
      <c r="Y488" s="31">
        <f t="shared" si="213"/>
        <v>20690.01</v>
      </c>
      <c r="Z488" s="32">
        <f t="shared" si="213"/>
        <v>50262.6</v>
      </c>
      <c r="AA488" s="31">
        <f t="shared" si="213"/>
        <v>21123.54</v>
      </c>
      <c r="AB488" s="32">
        <f t="shared" si="213"/>
        <v>603151.1999999998</v>
      </c>
      <c r="AC488" s="31">
        <f t="shared" si="213"/>
        <v>265220.82</v>
      </c>
    </row>
    <row r="489" spans="1:29" ht="13.5" thickBot="1">
      <c r="A489" s="5" t="s">
        <v>22</v>
      </c>
      <c r="B489" s="545">
        <f>'[68]Flujo vencimientos'!B$25</f>
        <v>50262.6</v>
      </c>
      <c r="C489" s="546">
        <f>'[68]Flujo vencimientos'!C$25</f>
        <v>23941</v>
      </c>
      <c r="D489" s="545">
        <f>'[68]Flujo vencimientos'!D$25</f>
        <v>50262.6</v>
      </c>
      <c r="E489" s="546">
        <f>'[68]Flujo vencimientos'!E$25</f>
        <v>21392.78</v>
      </c>
      <c r="F489" s="545">
        <f>'[68]Flujo vencimientos'!F$25</f>
        <v>50262.6</v>
      </c>
      <c r="G489" s="546">
        <f>'[68]Flujo vencimientos'!G$25</f>
        <v>23428.73</v>
      </c>
      <c r="H489" s="545">
        <f>'[68]Flujo vencimientos'!H$25</f>
        <v>50262.6</v>
      </c>
      <c r="I489" s="546">
        <f>'[68]Flujo vencimientos'!I$25</f>
        <v>22425.1</v>
      </c>
      <c r="J489" s="545">
        <f>'[68]Flujo vencimientos'!J$25</f>
        <v>50262.6</v>
      </c>
      <c r="K489" s="546">
        <f>'[68]Flujo vencimientos'!K$25</f>
        <v>22916.47</v>
      </c>
      <c r="L489" s="545">
        <f>'[68]Flujo vencimientos'!L$25</f>
        <v>50262.6</v>
      </c>
      <c r="M489" s="546">
        <f>'[68]Flujo vencimientos'!M$25</f>
        <v>21929.36</v>
      </c>
      <c r="N489" s="547">
        <f aca="true" t="shared" si="214" ref="N489:O492">B489+D489+F489+H489+J489+L489</f>
        <v>301575.6</v>
      </c>
      <c r="O489" s="84">
        <f t="shared" si="214"/>
        <v>136033.44</v>
      </c>
      <c r="P489" s="545">
        <f>'[68]Flujo vencimientos'!N$25</f>
        <v>50262.6</v>
      </c>
      <c r="Q489" s="546">
        <f>'[68]Flujo vencimientos'!O$25</f>
        <v>22404.2</v>
      </c>
      <c r="R489" s="545">
        <f>'[68]Flujo vencimientos'!P$25</f>
        <v>50262.6</v>
      </c>
      <c r="S489" s="546">
        <f>'[68]Flujo vencimientos'!Q$25</f>
        <v>22148.07</v>
      </c>
      <c r="T489" s="545">
        <f>'[68]Flujo vencimientos'!R$25</f>
        <v>50262.6</v>
      </c>
      <c r="U489" s="546">
        <f>'[68]Flujo vencimientos'!S$25</f>
        <v>21185.75</v>
      </c>
      <c r="V489" s="545">
        <f>'[68]Flujo vencimientos'!T$25</f>
        <v>50262.6</v>
      </c>
      <c r="W489" s="546">
        <f>'[68]Flujo vencimientos'!U$25</f>
        <v>21635.81</v>
      </c>
      <c r="X489" s="545">
        <f>'[68]Flujo vencimientos'!V$25</f>
        <v>50262.6</v>
      </c>
      <c r="Y489" s="546">
        <f>'[68]Flujo vencimientos'!W$25</f>
        <v>20690.01</v>
      </c>
      <c r="Z489" s="545">
        <f>'[68]Flujo vencimientos'!X$25</f>
        <v>50262.6</v>
      </c>
      <c r="AA489" s="546">
        <f>'[68]Flujo vencimientos'!Y$25</f>
        <v>21123.54</v>
      </c>
      <c r="AB489" s="547">
        <f>+N489+P489+R489+T489+V489+X489+Z489</f>
        <v>603151.1999999998</v>
      </c>
      <c r="AC489" s="84">
        <f>O489+Q489+S489+U489+W489+Y489+AA489</f>
        <v>265220.82</v>
      </c>
    </row>
    <row r="490" spans="1:29" ht="13.5" hidden="1" thickBot="1">
      <c r="A490" s="5" t="s">
        <v>8</v>
      </c>
      <c r="B490" s="545"/>
      <c r="C490" s="546"/>
      <c r="D490" s="545"/>
      <c r="E490" s="546"/>
      <c r="F490" s="545"/>
      <c r="G490" s="546"/>
      <c r="H490" s="545"/>
      <c r="I490" s="546"/>
      <c r="J490" s="545"/>
      <c r="K490" s="546"/>
      <c r="L490" s="545"/>
      <c r="M490" s="546"/>
      <c r="N490" s="547">
        <f t="shared" si="214"/>
        <v>0</v>
      </c>
      <c r="O490" s="84">
        <f t="shared" si="214"/>
        <v>0</v>
      </c>
      <c r="P490" s="545"/>
      <c r="Q490" s="546"/>
      <c r="R490" s="545"/>
      <c r="S490" s="546"/>
      <c r="T490" s="545"/>
      <c r="U490" s="546"/>
      <c r="V490" s="545"/>
      <c r="W490" s="546"/>
      <c r="X490" s="545"/>
      <c r="Y490" s="546"/>
      <c r="Z490" s="545"/>
      <c r="AA490" s="546"/>
      <c r="AB490" s="547">
        <f>+N490+P490+R490+T490+V490+X490+Z490</f>
        <v>0</v>
      </c>
      <c r="AC490" s="84">
        <f>O490+Q490+S490+U490+W490+Y490+AA490</f>
        <v>0</v>
      </c>
    </row>
    <row r="491" spans="1:29" ht="13.5" hidden="1" thickBot="1">
      <c r="A491" s="5" t="s">
        <v>11</v>
      </c>
      <c r="B491" s="545"/>
      <c r="C491" s="546"/>
      <c r="D491" s="545"/>
      <c r="E491" s="546"/>
      <c r="F491" s="545"/>
      <c r="G491" s="546"/>
      <c r="H491" s="545"/>
      <c r="I491" s="546"/>
      <c r="J491" s="545"/>
      <c r="K491" s="546"/>
      <c r="L491" s="545"/>
      <c r="M491" s="546"/>
      <c r="N491" s="547">
        <f t="shared" si="214"/>
        <v>0</v>
      </c>
      <c r="O491" s="84">
        <f t="shared" si="214"/>
        <v>0</v>
      </c>
      <c r="P491" s="545"/>
      <c r="Q491" s="546"/>
      <c r="R491" s="545"/>
      <c r="S491" s="546"/>
      <c r="T491" s="545"/>
      <c r="U491" s="546"/>
      <c r="V491" s="545"/>
      <c r="W491" s="546"/>
      <c r="X491" s="545"/>
      <c r="Y491" s="546"/>
      <c r="Z491" s="545"/>
      <c r="AA491" s="546"/>
      <c r="AB491" s="547">
        <f>+N491+P491+R491+T491+V491+X491+Z491</f>
        <v>0</v>
      </c>
      <c r="AC491" s="84">
        <f>O491+Q491+S491+U491+W491+Y491+AA491</f>
        <v>0</v>
      </c>
    </row>
    <row r="492" spans="1:29" s="42" customFormat="1" ht="12.75" thickBot="1">
      <c r="A492" s="30" t="s">
        <v>121</v>
      </c>
      <c r="B492" s="28">
        <f>B488</f>
        <v>50262.6</v>
      </c>
      <c r="C492" s="27">
        <f>C488</f>
        <v>23941</v>
      </c>
      <c r="D492" s="28">
        <f aca="true" t="shared" si="215" ref="D492:M492">D488</f>
        <v>50262.6</v>
      </c>
      <c r="E492" s="27">
        <f t="shared" si="215"/>
        <v>21392.78</v>
      </c>
      <c r="F492" s="28">
        <f t="shared" si="215"/>
        <v>50262.6</v>
      </c>
      <c r="G492" s="27">
        <f t="shared" si="215"/>
        <v>23428.73</v>
      </c>
      <c r="H492" s="28">
        <f t="shared" si="215"/>
        <v>50262.6</v>
      </c>
      <c r="I492" s="27">
        <f t="shared" si="215"/>
        <v>22425.1</v>
      </c>
      <c r="J492" s="28">
        <f t="shared" si="215"/>
        <v>50262.6</v>
      </c>
      <c r="K492" s="27">
        <f t="shared" si="215"/>
        <v>22916.47</v>
      </c>
      <c r="L492" s="28">
        <f t="shared" si="215"/>
        <v>50262.6</v>
      </c>
      <c r="M492" s="27">
        <f t="shared" si="215"/>
        <v>21929.36</v>
      </c>
      <c r="N492" s="49">
        <f t="shared" si="214"/>
        <v>301575.6</v>
      </c>
      <c r="O492" s="48">
        <f t="shared" si="214"/>
        <v>136033.44</v>
      </c>
      <c r="P492" s="28">
        <f aca="true" t="shared" si="216" ref="P492:AA492">P488</f>
        <v>50262.6</v>
      </c>
      <c r="Q492" s="27">
        <f t="shared" si="216"/>
        <v>22404.2</v>
      </c>
      <c r="R492" s="28">
        <f t="shared" si="216"/>
        <v>50262.6</v>
      </c>
      <c r="S492" s="27">
        <f t="shared" si="216"/>
        <v>22148.07</v>
      </c>
      <c r="T492" s="28">
        <f t="shared" si="216"/>
        <v>50262.6</v>
      </c>
      <c r="U492" s="27">
        <f t="shared" si="216"/>
        <v>21185.75</v>
      </c>
      <c r="V492" s="28">
        <f t="shared" si="216"/>
        <v>50262.6</v>
      </c>
      <c r="W492" s="27">
        <f t="shared" si="216"/>
        <v>21635.81</v>
      </c>
      <c r="X492" s="28">
        <f t="shared" si="216"/>
        <v>50262.6</v>
      </c>
      <c r="Y492" s="27">
        <f t="shared" si="216"/>
        <v>20690.01</v>
      </c>
      <c r="Z492" s="28">
        <f t="shared" si="216"/>
        <v>50262.6</v>
      </c>
      <c r="AA492" s="27">
        <f t="shared" si="216"/>
        <v>21123.54</v>
      </c>
      <c r="AB492" s="49">
        <f>+N492+P492+R492+T492+V492+X492+Z492</f>
        <v>603151.1999999998</v>
      </c>
      <c r="AC492" s="48">
        <f>O492+Q492+S492+U492+W492+Y492+AA492</f>
        <v>265220.82</v>
      </c>
    </row>
    <row r="496" spans="1:30" ht="27" thickBot="1">
      <c r="A496" s="21"/>
      <c r="B496" s="21"/>
      <c r="C496" s="21"/>
      <c r="D496" s="21"/>
      <c r="E496" s="21"/>
      <c r="F496" s="21"/>
      <c r="G496" s="21"/>
      <c r="H496" s="22" t="s">
        <v>296</v>
      </c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2" t="str">
        <f>H496</f>
        <v>AÑO 2026</v>
      </c>
      <c r="W496" s="21"/>
      <c r="X496" s="21"/>
      <c r="Y496" s="21"/>
      <c r="Z496" s="21"/>
      <c r="AA496" s="21"/>
      <c r="AB496" s="755"/>
      <c r="AC496" s="755"/>
      <c r="AD496" s="16" t="str">
        <f>V496</f>
        <v>AÑO 2026</v>
      </c>
    </row>
    <row r="497" spans="1:29" s="42" customFormat="1" ht="12.75" thickBot="1">
      <c r="A497" s="12" t="s">
        <v>94</v>
      </c>
      <c r="B497" s="39"/>
      <c r="C497" s="39"/>
      <c r="D497" s="39"/>
      <c r="E497" s="39"/>
      <c r="F497" s="39"/>
      <c r="G497" s="39"/>
      <c r="H497" s="78" t="s">
        <v>132</v>
      </c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78" t="str">
        <f>H497</f>
        <v>EN PESOS</v>
      </c>
      <c r="W497" s="39"/>
      <c r="X497" s="39"/>
      <c r="Y497" s="39"/>
      <c r="Z497" s="39"/>
      <c r="AA497" s="39"/>
      <c r="AB497" s="39"/>
      <c r="AC497" s="38"/>
    </row>
    <row r="498" spans="1:29" ht="12.75">
      <c r="A498" s="134" t="s">
        <v>130</v>
      </c>
      <c r="B498" s="32">
        <f aca="true" t="shared" si="217" ref="B498:AC498">SUM(B499:B501)</f>
        <v>50262.6</v>
      </c>
      <c r="C498" s="31">
        <f t="shared" si="217"/>
        <v>20867.41</v>
      </c>
      <c r="D498" s="32">
        <f t="shared" si="217"/>
        <v>50262.6</v>
      </c>
      <c r="E498" s="31">
        <f t="shared" si="217"/>
        <v>18616.64</v>
      </c>
      <c r="F498" s="32">
        <f t="shared" si="217"/>
        <v>50262.6</v>
      </c>
      <c r="G498" s="31">
        <f t="shared" si="217"/>
        <v>20355.14</v>
      </c>
      <c r="H498" s="32">
        <f t="shared" si="217"/>
        <v>50262.6</v>
      </c>
      <c r="I498" s="31">
        <f t="shared" si="217"/>
        <v>19450.65</v>
      </c>
      <c r="J498" s="32">
        <f t="shared" si="217"/>
        <v>50262.6</v>
      </c>
      <c r="K498" s="31">
        <f t="shared" si="217"/>
        <v>19842.88</v>
      </c>
      <c r="L498" s="32">
        <f t="shared" si="217"/>
        <v>50262.6</v>
      </c>
      <c r="M498" s="31">
        <f t="shared" si="217"/>
        <v>18954.91</v>
      </c>
      <c r="N498" s="32">
        <f t="shared" si="217"/>
        <v>301575.6</v>
      </c>
      <c r="O498" s="31">
        <f t="shared" si="217"/>
        <v>118087.63</v>
      </c>
      <c r="P498" s="32">
        <f t="shared" si="217"/>
        <v>50262.6</v>
      </c>
      <c r="Q498" s="31">
        <f t="shared" si="217"/>
        <v>19330.61</v>
      </c>
      <c r="R498" s="32">
        <f t="shared" si="217"/>
        <v>50262.6</v>
      </c>
      <c r="S498" s="31">
        <f t="shared" si="217"/>
        <v>19074.48</v>
      </c>
      <c r="T498" s="32">
        <f t="shared" si="217"/>
        <v>50262.6</v>
      </c>
      <c r="U498" s="31">
        <f t="shared" si="217"/>
        <v>18211.3</v>
      </c>
      <c r="V498" s="32">
        <f t="shared" si="217"/>
        <v>50262.6</v>
      </c>
      <c r="W498" s="31">
        <f t="shared" si="217"/>
        <v>18562.21</v>
      </c>
      <c r="X498" s="32">
        <f t="shared" si="217"/>
        <v>50262.6</v>
      </c>
      <c r="Y498" s="31">
        <f t="shared" si="217"/>
        <v>17715.56</v>
      </c>
      <c r="Z498" s="32">
        <f t="shared" si="217"/>
        <v>50262.6</v>
      </c>
      <c r="AA498" s="31">
        <f t="shared" si="217"/>
        <v>18049.95</v>
      </c>
      <c r="AB498" s="32">
        <f t="shared" si="217"/>
        <v>603151.1999999998</v>
      </c>
      <c r="AC498" s="31">
        <f t="shared" si="217"/>
        <v>229031.74</v>
      </c>
    </row>
    <row r="499" spans="1:29" ht="13.5" thickBot="1">
      <c r="A499" s="5" t="s">
        <v>22</v>
      </c>
      <c r="B499" s="545">
        <f>'[68]Flujo vencimientos'!B$26</f>
        <v>50262.6</v>
      </c>
      <c r="C499" s="546">
        <f>'[68]Flujo vencimientos'!C$26</f>
        <v>20867.41</v>
      </c>
      <c r="D499" s="545">
        <f>'[68]Flujo vencimientos'!D$26</f>
        <v>50262.6</v>
      </c>
      <c r="E499" s="546">
        <f>'[68]Flujo vencimientos'!E$26</f>
        <v>18616.64</v>
      </c>
      <c r="F499" s="545">
        <f>'[68]Flujo vencimientos'!F$26</f>
        <v>50262.6</v>
      </c>
      <c r="G499" s="546">
        <f>'[68]Flujo vencimientos'!G$26</f>
        <v>20355.14</v>
      </c>
      <c r="H499" s="545">
        <f>'[68]Flujo vencimientos'!H$26</f>
        <v>50262.6</v>
      </c>
      <c r="I499" s="546">
        <f>'[68]Flujo vencimientos'!I$26</f>
        <v>19450.65</v>
      </c>
      <c r="J499" s="545">
        <f>'[68]Flujo vencimientos'!J$26</f>
        <v>50262.6</v>
      </c>
      <c r="K499" s="546">
        <f>'[68]Flujo vencimientos'!K$26</f>
        <v>19842.88</v>
      </c>
      <c r="L499" s="545">
        <f>'[68]Flujo vencimientos'!L$26</f>
        <v>50262.6</v>
      </c>
      <c r="M499" s="546">
        <f>'[68]Flujo vencimientos'!M$26</f>
        <v>18954.91</v>
      </c>
      <c r="N499" s="547">
        <f aca="true" t="shared" si="218" ref="N499:O502">B499+D499+F499+H499+J499+L499</f>
        <v>301575.6</v>
      </c>
      <c r="O499" s="84">
        <f t="shared" si="218"/>
        <v>118087.63</v>
      </c>
      <c r="P499" s="545">
        <f>'[68]Flujo vencimientos'!N$26</f>
        <v>50262.6</v>
      </c>
      <c r="Q499" s="546">
        <f>'[68]Flujo vencimientos'!O$26</f>
        <v>19330.61</v>
      </c>
      <c r="R499" s="545">
        <f>'[68]Flujo vencimientos'!P$26</f>
        <v>50262.6</v>
      </c>
      <c r="S499" s="546">
        <f>'[68]Flujo vencimientos'!Q$26</f>
        <v>19074.48</v>
      </c>
      <c r="T499" s="545">
        <f>'[68]Flujo vencimientos'!R$26</f>
        <v>50262.6</v>
      </c>
      <c r="U499" s="546">
        <f>'[68]Flujo vencimientos'!S$26</f>
        <v>18211.3</v>
      </c>
      <c r="V499" s="545">
        <f>'[68]Flujo vencimientos'!T$26</f>
        <v>50262.6</v>
      </c>
      <c r="W499" s="546">
        <f>'[68]Flujo vencimientos'!U$26</f>
        <v>18562.21</v>
      </c>
      <c r="X499" s="545">
        <f>'[68]Flujo vencimientos'!V$26</f>
        <v>50262.6</v>
      </c>
      <c r="Y499" s="546">
        <f>'[68]Flujo vencimientos'!W$26</f>
        <v>17715.56</v>
      </c>
      <c r="Z499" s="545">
        <f>'[68]Flujo vencimientos'!X$26</f>
        <v>50262.6</v>
      </c>
      <c r="AA499" s="546">
        <f>'[68]Flujo vencimientos'!Y$26</f>
        <v>18049.95</v>
      </c>
      <c r="AB499" s="547">
        <f>+N499+P499+R499+T499+V499+X499+Z499</f>
        <v>603151.1999999998</v>
      </c>
      <c r="AC499" s="84">
        <f>O499+Q499+S499+U499+W499+Y499+AA499</f>
        <v>229031.74</v>
      </c>
    </row>
    <row r="500" spans="1:29" ht="13.5" hidden="1" thickBot="1">
      <c r="A500" s="5" t="s">
        <v>8</v>
      </c>
      <c r="B500" s="545"/>
      <c r="C500" s="546"/>
      <c r="D500" s="545"/>
      <c r="E500" s="546"/>
      <c r="F500" s="545"/>
      <c r="G500" s="546"/>
      <c r="H500" s="545"/>
      <c r="I500" s="546"/>
      <c r="J500" s="545"/>
      <c r="K500" s="546"/>
      <c r="L500" s="545"/>
      <c r="M500" s="546"/>
      <c r="N500" s="547">
        <f t="shared" si="218"/>
        <v>0</v>
      </c>
      <c r="O500" s="84">
        <f t="shared" si="218"/>
        <v>0</v>
      </c>
      <c r="P500" s="545"/>
      <c r="Q500" s="546"/>
      <c r="R500" s="545"/>
      <c r="S500" s="546"/>
      <c r="T500" s="545"/>
      <c r="U500" s="546"/>
      <c r="V500" s="545"/>
      <c r="W500" s="546"/>
      <c r="X500" s="545"/>
      <c r="Y500" s="546"/>
      <c r="Z500" s="545"/>
      <c r="AA500" s="546"/>
      <c r="AB500" s="547">
        <f>+N500+P500+R500+T500+V500+X500+Z500</f>
        <v>0</v>
      </c>
      <c r="AC500" s="84">
        <f>O500+Q500+S500+U500+W500+Y500+AA500</f>
        <v>0</v>
      </c>
    </row>
    <row r="501" spans="1:29" ht="13.5" hidden="1" thickBot="1">
      <c r="A501" s="5" t="s">
        <v>11</v>
      </c>
      <c r="B501" s="545"/>
      <c r="C501" s="546"/>
      <c r="D501" s="545"/>
      <c r="E501" s="546"/>
      <c r="F501" s="545"/>
      <c r="G501" s="546"/>
      <c r="H501" s="545"/>
      <c r="I501" s="546"/>
      <c r="J501" s="545"/>
      <c r="K501" s="546"/>
      <c r="L501" s="545"/>
      <c r="M501" s="546"/>
      <c r="N501" s="547">
        <f t="shared" si="218"/>
        <v>0</v>
      </c>
      <c r="O501" s="84">
        <f t="shared" si="218"/>
        <v>0</v>
      </c>
      <c r="P501" s="545"/>
      <c r="Q501" s="546"/>
      <c r="R501" s="545"/>
      <c r="S501" s="546"/>
      <c r="T501" s="545"/>
      <c r="U501" s="546"/>
      <c r="V501" s="545"/>
      <c r="W501" s="546"/>
      <c r="X501" s="545"/>
      <c r="Y501" s="546"/>
      <c r="Z501" s="545"/>
      <c r="AA501" s="546"/>
      <c r="AB501" s="547">
        <f>+N501+P501+R501+T501+V501+X501+Z501</f>
        <v>0</v>
      </c>
      <c r="AC501" s="84">
        <f>O501+Q501+S501+U501+W501+Y501+AA501</f>
        <v>0</v>
      </c>
    </row>
    <row r="502" spans="1:29" s="42" customFormat="1" ht="12.75" thickBot="1">
      <c r="A502" s="30" t="s">
        <v>121</v>
      </c>
      <c r="B502" s="28">
        <f>B498</f>
        <v>50262.6</v>
      </c>
      <c r="C502" s="27">
        <f>C498</f>
        <v>20867.41</v>
      </c>
      <c r="D502" s="28">
        <f aca="true" t="shared" si="219" ref="D502:M502">D498</f>
        <v>50262.6</v>
      </c>
      <c r="E502" s="27">
        <f t="shared" si="219"/>
        <v>18616.64</v>
      </c>
      <c r="F502" s="28">
        <f t="shared" si="219"/>
        <v>50262.6</v>
      </c>
      <c r="G502" s="27">
        <f t="shared" si="219"/>
        <v>20355.14</v>
      </c>
      <c r="H502" s="28">
        <f t="shared" si="219"/>
        <v>50262.6</v>
      </c>
      <c r="I502" s="27">
        <f t="shared" si="219"/>
        <v>19450.65</v>
      </c>
      <c r="J502" s="28">
        <f t="shared" si="219"/>
        <v>50262.6</v>
      </c>
      <c r="K502" s="27">
        <f t="shared" si="219"/>
        <v>19842.88</v>
      </c>
      <c r="L502" s="28">
        <f t="shared" si="219"/>
        <v>50262.6</v>
      </c>
      <c r="M502" s="27">
        <f t="shared" si="219"/>
        <v>18954.91</v>
      </c>
      <c r="N502" s="49">
        <f t="shared" si="218"/>
        <v>301575.6</v>
      </c>
      <c r="O502" s="48">
        <f t="shared" si="218"/>
        <v>118087.63</v>
      </c>
      <c r="P502" s="28">
        <f aca="true" t="shared" si="220" ref="P502:AA502">P498</f>
        <v>50262.6</v>
      </c>
      <c r="Q502" s="27">
        <f t="shared" si="220"/>
        <v>19330.61</v>
      </c>
      <c r="R502" s="28">
        <f t="shared" si="220"/>
        <v>50262.6</v>
      </c>
      <c r="S502" s="27">
        <f t="shared" si="220"/>
        <v>19074.48</v>
      </c>
      <c r="T502" s="28">
        <f t="shared" si="220"/>
        <v>50262.6</v>
      </c>
      <c r="U502" s="27">
        <f t="shared" si="220"/>
        <v>18211.3</v>
      </c>
      <c r="V502" s="28">
        <f t="shared" si="220"/>
        <v>50262.6</v>
      </c>
      <c r="W502" s="27">
        <f t="shared" si="220"/>
        <v>18562.21</v>
      </c>
      <c r="X502" s="28">
        <f t="shared" si="220"/>
        <v>50262.6</v>
      </c>
      <c r="Y502" s="27">
        <f t="shared" si="220"/>
        <v>17715.56</v>
      </c>
      <c r="Z502" s="28">
        <f t="shared" si="220"/>
        <v>50262.6</v>
      </c>
      <c r="AA502" s="27">
        <f t="shared" si="220"/>
        <v>18049.95</v>
      </c>
      <c r="AB502" s="49">
        <f>+N502+P502+R502+T502+V502+X502+Z502</f>
        <v>603151.1999999998</v>
      </c>
      <c r="AC502" s="48">
        <f>O502+Q502+S502+U502+W502+Y502+AA502</f>
        <v>229031.74</v>
      </c>
    </row>
    <row r="506" spans="1:30" ht="27" thickBot="1">
      <c r="A506" s="21"/>
      <c r="B506" s="21"/>
      <c r="C506" s="21"/>
      <c r="D506" s="21"/>
      <c r="E506" s="21"/>
      <c r="F506" s="21"/>
      <c r="G506" s="21"/>
      <c r="H506" s="22" t="s">
        <v>297</v>
      </c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2" t="str">
        <f>H506</f>
        <v>AÑO 2027</v>
      </c>
      <c r="W506" s="21"/>
      <c r="X506" s="21"/>
      <c r="Y506" s="21"/>
      <c r="Z506" s="21"/>
      <c r="AA506" s="21"/>
      <c r="AB506" s="755"/>
      <c r="AC506" s="755"/>
      <c r="AD506" s="16" t="str">
        <f>V506</f>
        <v>AÑO 2027</v>
      </c>
    </row>
    <row r="507" spans="1:29" s="42" customFormat="1" ht="12.75" thickBot="1">
      <c r="A507" s="12" t="s">
        <v>94</v>
      </c>
      <c r="B507" s="39"/>
      <c r="C507" s="39"/>
      <c r="D507" s="39"/>
      <c r="E507" s="39"/>
      <c r="F507" s="39"/>
      <c r="G507" s="39"/>
      <c r="H507" s="78" t="s">
        <v>132</v>
      </c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78" t="str">
        <f>H507</f>
        <v>EN PESOS</v>
      </c>
      <c r="W507" s="39"/>
      <c r="X507" s="39"/>
      <c r="Y507" s="39"/>
      <c r="Z507" s="39"/>
      <c r="AA507" s="39"/>
      <c r="AB507" s="39"/>
      <c r="AC507" s="38"/>
    </row>
    <row r="508" spans="1:29" ht="12.75">
      <c r="A508" s="134" t="s">
        <v>130</v>
      </c>
      <c r="B508" s="32">
        <f aca="true" t="shared" si="221" ref="B508:AC508">SUM(B509:B511)</f>
        <v>50262.6</v>
      </c>
      <c r="C508" s="31">
        <f t="shared" si="221"/>
        <v>17793.81</v>
      </c>
      <c r="D508" s="32">
        <f t="shared" si="221"/>
        <v>50262.6</v>
      </c>
      <c r="E508" s="31">
        <f t="shared" si="221"/>
        <v>15840.49</v>
      </c>
      <c r="F508" s="32">
        <f t="shared" si="221"/>
        <v>50262.6</v>
      </c>
      <c r="G508" s="31">
        <f t="shared" si="221"/>
        <v>17281.55</v>
      </c>
      <c r="H508" s="32">
        <f t="shared" si="221"/>
        <v>50262.6</v>
      </c>
      <c r="I508" s="31">
        <f t="shared" si="221"/>
        <v>16476.21</v>
      </c>
      <c r="J508" s="32">
        <f t="shared" si="221"/>
        <v>50262.6</v>
      </c>
      <c r="K508" s="31">
        <f t="shared" si="221"/>
        <v>16769.28</v>
      </c>
      <c r="L508" s="32">
        <f t="shared" si="221"/>
        <v>50262.6</v>
      </c>
      <c r="M508" s="31">
        <f t="shared" si="221"/>
        <v>15980.47</v>
      </c>
      <c r="N508" s="32">
        <f t="shared" si="221"/>
        <v>301575.6</v>
      </c>
      <c r="O508" s="31">
        <f t="shared" si="221"/>
        <v>100141.81</v>
      </c>
      <c r="P508" s="32">
        <f t="shared" si="221"/>
        <v>50262.6</v>
      </c>
      <c r="Q508" s="31">
        <f t="shared" si="221"/>
        <v>16257.02</v>
      </c>
      <c r="R508" s="32">
        <f t="shared" si="221"/>
        <v>50262.6</v>
      </c>
      <c r="S508" s="31">
        <f t="shared" si="221"/>
        <v>16000.89</v>
      </c>
      <c r="T508" s="32">
        <f t="shared" si="221"/>
        <v>50262.6</v>
      </c>
      <c r="U508" s="31">
        <f t="shared" si="221"/>
        <v>15236.86</v>
      </c>
      <c r="V508" s="32">
        <f t="shared" si="221"/>
        <v>50262.6</v>
      </c>
      <c r="W508" s="31">
        <f t="shared" si="221"/>
        <v>15488.62</v>
      </c>
      <c r="X508" s="32">
        <f t="shared" si="221"/>
        <v>50262.6</v>
      </c>
      <c r="Y508" s="31">
        <f t="shared" si="221"/>
        <v>14741.12</v>
      </c>
      <c r="Z508" s="32">
        <f t="shared" si="221"/>
        <v>50262.6</v>
      </c>
      <c r="AA508" s="31">
        <f t="shared" si="221"/>
        <v>14976.36</v>
      </c>
      <c r="AB508" s="32">
        <f t="shared" si="221"/>
        <v>603151.1999999998</v>
      </c>
      <c r="AC508" s="31">
        <f t="shared" si="221"/>
        <v>192842.68</v>
      </c>
    </row>
    <row r="509" spans="1:29" ht="13.5" thickBot="1">
      <c r="A509" s="5" t="s">
        <v>22</v>
      </c>
      <c r="B509" s="545">
        <f>'[68]Flujo vencimientos'!B$27</f>
        <v>50262.6</v>
      </c>
      <c r="C509" s="546">
        <f>'[68]Flujo vencimientos'!C$27</f>
        <v>17793.81</v>
      </c>
      <c r="D509" s="545">
        <f>'[68]Flujo vencimientos'!D$27</f>
        <v>50262.6</v>
      </c>
      <c r="E509" s="546">
        <f>'[68]Flujo vencimientos'!E$27</f>
        <v>15840.49</v>
      </c>
      <c r="F509" s="545">
        <f>'[68]Flujo vencimientos'!F$27</f>
        <v>50262.6</v>
      </c>
      <c r="G509" s="546">
        <f>'[68]Flujo vencimientos'!G$27</f>
        <v>17281.55</v>
      </c>
      <c r="H509" s="545">
        <f>'[68]Flujo vencimientos'!H$27</f>
        <v>50262.6</v>
      </c>
      <c r="I509" s="546">
        <f>'[68]Flujo vencimientos'!I$27</f>
        <v>16476.21</v>
      </c>
      <c r="J509" s="545">
        <f>'[68]Flujo vencimientos'!J$27</f>
        <v>50262.6</v>
      </c>
      <c r="K509" s="546">
        <f>'[68]Flujo vencimientos'!K$27</f>
        <v>16769.28</v>
      </c>
      <c r="L509" s="545">
        <f>'[68]Flujo vencimientos'!L$27</f>
        <v>50262.6</v>
      </c>
      <c r="M509" s="546">
        <f>'[68]Flujo vencimientos'!M$27</f>
        <v>15980.47</v>
      </c>
      <c r="N509" s="547">
        <f aca="true" t="shared" si="222" ref="N509:O512">B509+D509+F509+H509+J509+L509</f>
        <v>301575.6</v>
      </c>
      <c r="O509" s="84">
        <f t="shared" si="222"/>
        <v>100141.81</v>
      </c>
      <c r="P509" s="545">
        <f>'[68]Flujo vencimientos'!N$27</f>
        <v>50262.6</v>
      </c>
      <c r="Q509" s="546">
        <f>'[68]Flujo vencimientos'!O$27</f>
        <v>16257.02</v>
      </c>
      <c r="R509" s="545">
        <f>'[68]Flujo vencimientos'!P$27</f>
        <v>50262.6</v>
      </c>
      <c r="S509" s="546">
        <f>'[68]Flujo vencimientos'!Q$27</f>
        <v>16000.89</v>
      </c>
      <c r="T509" s="545">
        <f>'[68]Flujo vencimientos'!R$27</f>
        <v>50262.6</v>
      </c>
      <c r="U509" s="546">
        <f>'[68]Flujo vencimientos'!S$27</f>
        <v>15236.86</v>
      </c>
      <c r="V509" s="545">
        <f>'[68]Flujo vencimientos'!T$27</f>
        <v>50262.6</v>
      </c>
      <c r="W509" s="546">
        <f>'[68]Flujo vencimientos'!U$27</f>
        <v>15488.62</v>
      </c>
      <c r="X509" s="545">
        <f>'[68]Flujo vencimientos'!V$27</f>
        <v>50262.6</v>
      </c>
      <c r="Y509" s="546">
        <f>'[68]Flujo vencimientos'!W$27</f>
        <v>14741.12</v>
      </c>
      <c r="Z509" s="545">
        <f>'[68]Flujo vencimientos'!X$27</f>
        <v>50262.6</v>
      </c>
      <c r="AA509" s="546">
        <f>'[68]Flujo vencimientos'!Y$27</f>
        <v>14976.36</v>
      </c>
      <c r="AB509" s="547">
        <f>+N509+P509+R509+T509+V509+X509+Z509</f>
        <v>603151.1999999998</v>
      </c>
      <c r="AC509" s="84">
        <f>O509+Q509+S509+U509+W509+Y509+AA509</f>
        <v>192842.68</v>
      </c>
    </row>
    <row r="510" spans="1:29" ht="13.5" hidden="1" thickBot="1">
      <c r="A510" s="5" t="s">
        <v>8</v>
      </c>
      <c r="B510" s="545"/>
      <c r="C510" s="546"/>
      <c r="D510" s="545"/>
      <c r="E510" s="546"/>
      <c r="F510" s="545"/>
      <c r="G510" s="546"/>
      <c r="H510" s="545"/>
      <c r="I510" s="546"/>
      <c r="J510" s="545"/>
      <c r="K510" s="546"/>
      <c r="L510" s="545"/>
      <c r="M510" s="546"/>
      <c r="N510" s="547">
        <f t="shared" si="222"/>
        <v>0</v>
      </c>
      <c r="O510" s="84">
        <f t="shared" si="222"/>
        <v>0</v>
      </c>
      <c r="P510" s="545"/>
      <c r="Q510" s="546"/>
      <c r="R510" s="545"/>
      <c r="S510" s="546"/>
      <c r="T510" s="545"/>
      <c r="U510" s="546"/>
      <c r="V510" s="545"/>
      <c r="W510" s="546"/>
      <c r="X510" s="545"/>
      <c r="Y510" s="546"/>
      <c r="Z510" s="545"/>
      <c r="AA510" s="546"/>
      <c r="AB510" s="547">
        <f>+N510+P510+R510+T510+V510+X510+Z510</f>
        <v>0</v>
      </c>
      <c r="AC510" s="84">
        <f>O510+Q510+S510+U510+W510+Y510+AA510</f>
        <v>0</v>
      </c>
    </row>
    <row r="511" spans="1:29" ht="13.5" hidden="1" thickBot="1">
      <c r="A511" s="5" t="s">
        <v>11</v>
      </c>
      <c r="B511" s="545"/>
      <c r="C511" s="546"/>
      <c r="D511" s="545"/>
      <c r="E511" s="546"/>
      <c r="F511" s="545"/>
      <c r="G511" s="546"/>
      <c r="H511" s="545"/>
      <c r="I511" s="546"/>
      <c r="J511" s="545"/>
      <c r="K511" s="546"/>
      <c r="L511" s="545"/>
      <c r="M511" s="546"/>
      <c r="N511" s="547">
        <f t="shared" si="222"/>
        <v>0</v>
      </c>
      <c r="O511" s="84">
        <f t="shared" si="222"/>
        <v>0</v>
      </c>
      <c r="P511" s="545"/>
      <c r="Q511" s="546"/>
      <c r="R511" s="545"/>
      <c r="S511" s="546"/>
      <c r="T511" s="545"/>
      <c r="U511" s="546"/>
      <c r="V511" s="545"/>
      <c r="W511" s="546"/>
      <c r="X511" s="545"/>
      <c r="Y511" s="546"/>
      <c r="Z511" s="545"/>
      <c r="AA511" s="546"/>
      <c r="AB511" s="547">
        <f>+N511+P511+R511+T511+V511+X511+Z511</f>
        <v>0</v>
      </c>
      <c r="AC511" s="84">
        <f>O511+Q511+S511+U511+W511+Y511+AA511</f>
        <v>0</v>
      </c>
    </row>
    <row r="512" spans="1:29" s="42" customFormat="1" ht="12.75" thickBot="1">
      <c r="A512" s="30" t="s">
        <v>121</v>
      </c>
      <c r="B512" s="28">
        <f>B508</f>
        <v>50262.6</v>
      </c>
      <c r="C512" s="27">
        <f>C508</f>
        <v>17793.81</v>
      </c>
      <c r="D512" s="28">
        <f aca="true" t="shared" si="223" ref="D512:M512">D508</f>
        <v>50262.6</v>
      </c>
      <c r="E512" s="27">
        <f t="shared" si="223"/>
        <v>15840.49</v>
      </c>
      <c r="F512" s="28">
        <f t="shared" si="223"/>
        <v>50262.6</v>
      </c>
      <c r="G512" s="27">
        <f t="shared" si="223"/>
        <v>17281.55</v>
      </c>
      <c r="H512" s="28">
        <f t="shared" si="223"/>
        <v>50262.6</v>
      </c>
      <c r="I512" s="27">
        <f t="shared" si="223"/>
        <v>16476.21</v>
      </c>
      <c r="J512" s="28">
        <f t="shared" si="223"/>
        <v>50262.6</v>
      </c>
      <c r="K512" s="27">
        <f t="shared" si="223"/>
        <v>16769.28</v>
      </c>
      <c r="L512" s="28">
        <f t="shared" si="223"/>
        <v>50262.6</v>
      </c>
      <c r="M512" s="27">
        <f t="shared" si="223"/>
        <v>15980.47</v>
      </c>
      <c r="N512" s="49">
        <f t="shared" si="222"/>
        <v>301575.6</v>
      </c>
      <c r="O512" s="48">
        <f t="shared" si="222"/>
        <v>100141.81</v>
      </c>
      <c r="P512" s="28">
        <f aca="true" t="shared" si="224" ref="P512:AA512">P508</f>
        <v>50262.6</v>
      </c>
      <c r="Q512" s="27">
        <f t="shared" si="224"/>
        <v>16257.02</v>
      </c>
      <c r="R512" s="28">
        <f t="shared" si="224"/>
        <v>50262.6</v>
      </c>
      <c r="S512" s="27">
        <f t="shared" si="224"/>
        <v>16000.89</v>
      </c>
      <c r="T512" s="28">
        <f t="shared" si="224"/>
        <v>50262.6</v>
      </c>
      <c r="U512" s="27">
        <f t="shared" si="224"/>
        <v>15236.86</v>
      </c>
      <c r="V512" s="28">
        <f t="shared" si="224"/>
        <v>50262.6</v>
      </c>
      <c r="W512" s="27">
        <f t="shared" si="224"/>
        <v>15488.62</v>
      </c>
      <c r="X512" s="28">
        <f t="shared" si="224"/>
        <v>50262.6</v>
      </c>
      <c r="Y512" s="27">
        <f t="shared" si="224"/>
        <v>14741.12</v>
      </c>
      <c r="Z512" s="28">
        <f t="shared" si="224"/>
        <v>50262.6</v>
      </c>
      <c r="AA512" s="27">
        <f t="shared" si="224"/>
        <v>14976.36</v>
      </c>
      <c r="AB512" s="49">
        <f>+N512+P512+R512+T512+V512+X512+Z512</f>
        <v>603151.1999999998</v>
      </c>
      <c r="AC512" s="48">
        <f>O512+Q512+S512+U512+W512+Y512+AA512</f>
        <v>192842.68</v>
      </c>
    </row>
    <row r="516" spans="1:30" ht="27" thickBot="1">
      <c r="A516" s="21"/>
      <c r="B516" s="21"/>
      <c r="C516" s="21"/>
      <c r="D516" s="21"/>
      <c r="E516" s="21"/>
      <c r="F516" s="21"/>
      <c r="G516" s="21"/>
      <c r="H516" s="22" t="s">
        <v>298</v>
      </c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2" t="str">
        <f>H516</f>
        <v>AÑO 2028</v>
      </c>
      <c r="W516" s="21"/>
      <c r="X516" s="21"/>
      <c r="Y516" s="21"/>
      <c r="Z516" s="21"/>
      <c r="AA516" s="21"/>
      <c r="AB516" s="755"/>
      <c r="AC516" s="755"/>
      <c r="AD516" s="16" t="str">
        <f>V516</f>
        <v>AÑO 2028</v>
      </c>
    </row>
    <row r="517" spans="1:29" s="42" customFormat="1" ht="12.75" thickBot="1">
      <c r="A517" s="12" t="s">
        <v>94</v>
      </c>
      <c r="B517" s="39"/>
      <c r="C517" s="39"/>
      <c r="D517" s="39"/>
      <c r="E517" s="39"/>
      <c r="F517" s="39"/>
      <c r="G517" s="39"/>
      <c r="H517" s="78" t="s">
        <v>132</v>
      </c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78" t="str">
        <f>H517</f>
        <v>EN PESOS</v>
      </c>
      <c r="W517" s="39"/>
      <c r="X517" s="39"/>
      <c r="Y517" s="39"/>
      <c r="Z517" s="39"/>
      <c r="AA517" s="39"/>
      <c r="AB517" s="39"/>
      <c r="AC517" s="38"/>
    </row>
    <row r="518" spans="1:29" ht="12.75">
      <c r="A518" s="134" t="s">
        <v>130</v>
      </c>
      <c r="B518" s="32">
        <f aca="true" t="shared" si="225" ref="B518:AC518">SUM(B519:B521)</f>
        <v>50262.6</v>
      </c>
      <c r="C518" s="31">
        <f t="shared" si="225"/>
        <v>14720.22</v>
      </c>
      <c r="D518" s="32">
        <f t="shared" si="225"/>
        <v>50262.6</v>
      </c>
      <c r="E518" s="31">
        <f t="shared" si="225"/>
        <v>13530.92</v>
      </c>
      <c r="F518" s="32">
        <f t="shared" si="225"/>
        <v>50262.6</v>
      </c>
      <c r="G518" s="31">
        <f t="shared" si="225"/>
        <v>14207.96</v>
      </c>
      <c r="H518" s="32">
        <f t="shared" si="225"/>
        <v>50262.6</v>
      </c>
      <c r="I518" s="31">
        <f t="shared" si="225"/>
        <v>13501.77</v>
      </c>
      <c r="J518" s="32">
        <f t="shared" si="225"/>
        <v>50262.6</v>
      </c>
      <c r="K518" s="31">
        <f t="shared" si="225"/>
        <v>13695.69</v>
      </c>
      <c r="L518" s="32">
        <f t="shared" si="225"/>
        <v>50262.6</v>
      </c>
      <c r="M518" s="31">
        <f t="shared" si="225"/>
        <v>13006.02</v>
      </c>
      <c r="N518" s="32">
        <f t="shared" si="225"/>
        <v>301575.6</v>
      </c>
      <c r="O518" s="31">
        <f t="shared" si="225"/>
        <v>82662.58</v>
      </c>
      <c r="P518" s="32">
        <f t="shared" si="225"/>
        <v>50262.6</v>
      </c>
      <c r="Q518" s="31">
        <f t="shared" si="225"/>
        <v>13183.43</v>
      </c>
      <c r="R518" s="32">
        <f t="shared" si="225"/>
        <v>50262.6</v>
      </c>
      <c r="S518" s="31">
        <f t="shared" si="225"/>
        <v>12927.29</v>
      </c>
      <c r="T518" s="32">
        <f t="shared" si="225"/>
        <v>50262.6</v>
      </c>
      <c r="U518" s="31">
        <f t="shared" si="225"/>
        <v>12262.41</v>
      </c>
      <c r="V518" s="32">
        <f t="shared" si="225"/>
        <v>50262.6</v>
      </c>
      <c r="W518" s="31">
        <f t="shared" si="225"/>
        <v>12415.03</v>
      </c>
      <c r="X518" s="32">
        <f t="shared" si="225"/>
        <v>50262.6</v>
      </c>
      <c r="Y518" s="31">
        <f t="shared" si="225"/>
        <v>11766.67</v>
      </c>
      <c r="Z518" s="32">
        <f t="shared" si="225"/>
        <v>50262.6</v>
      </c>
      <c r="AA518" s="31">
        <f t="shared" si="225"/>
        <v>11902.76</v>
      </c>
      <c r="AB518" s="32">
        <f t="shared" si="225"/>
        <v>603151.1999999998</v>
      </c>
      <c r="AC518" s="31">
        <f t="shared" si="225"/>
        <v>157120.17000000004</v>
      </c>
    </row>
    <row r="519" spans="1:29" ht="13.5" thickBot="1">
      <c r="A519" s="5" t="s">
        <v>22</v>
      </c>
      <c r="B519" s="545">
        <f>'[68]Flujo vencimientos'!B$28</f>
        <v>50262.6</v>
      </c>
      <c r="C519" s="546">
        <f>'[68]Flujo vencimientos'!C$28</f>
        <v>14720.22</v>
      </c>
      <c r="D519" s="545">
        <f>'[68]Flujo vencimientos'!D$28</f>
        <v>50262.6</v>
      </c>
      <c r="E519" s="546">
        <f>'[68]Flujo vencimientos'!E$28</f>
        <v>13530.92</v>
      </c>
      <c r="F519" s="545">
        <f>'[68]Flujo vencimientos'!F$28</f>
        <v>50262.6</v>
      </c>
      <c r="G519" s="546">
        <f>'[68]Flujo vencimientos'!G$28</f>
        <v>14207.96</v>
      </c>
      <c r="H519" s="545">
        <f>'[68]Flujo vencimientos'!H$28</f>
        <v>50262.6</v>
      </c>
      <c r="I519" s="546">
        <f>'[68]Flujo vencimientos'!I$28</f>
        <v>13501.77</v>
      </c>
      <c r="J519" s="545">
        <f>'[68]Flujo vencimientos'!J$28</f>
        <v>50262.6</v>
      </c>
      <c r="K519" s="546">
        <f>'[68]Flujo vencimientos'!K$28</f>
        <v>13695.69</v>
      </c>
      <c r="L519" s="545">
        <f>'[68]Flujo vencimientos'!L$28</f>
        <v>50262.6</v>
      </c>
      <c r="M519" s="546">
        <f>'[68]Flujo vencimientos'!M$28</f>
        <v>13006.02</v>
      </c>
      <c r="N519" s="547">
        <f aca="true" t="shared" si="226" ref="N519:O522">B519+D519+F519+H519+J519+L519</f>
        <v>301575.6</v>
      </c>
      <c r="O519" s="84">
        <f t="shared" si="226"/>
        <v>82662.58</v>
      </c>
      <c r="P519" s="545">
        <f>'[68]Flujo vencimientos'!N$28</f>
        <v>50262.6</v>
      </c>
      <c r="Q519" s="546">
        <f>'[68]Flujo vencimientos'!O$28</f>
        <v>13183.43</v>
      </c>
      <c r="R519" s="545">
        <f>'[68]Flujo vencimientos'!P$28</f>
        <v>50262.6</v>
      </c>
      <c r="S519" s="546">
        <f>'[68]Flujo vencimientos'!Q$28</f>
        <v>12927.29</v>
      </c>
      <c r="T519" s="545">
        <f>'[68]Flujo vencimientos'!R$28</f>
        <v>50262.6</v>
      </c>
      <c r="U519" s="546">
        <f>'[68]Flujo vencimientos'!S$28</f>
        <v>12262.41</v>
      </c>
      <c r="V519" s="545">
        <f>'[68]Flujo vencimientos'!T$28</f>
        <v>50262.6</v>
      </c>
      <c r="W519" s="546">
        <f>'[68]Flujo vencimientos'!U$28</f>
        <v>12415.03</v>
      </c>
      <c r="X519" s="545">
        <f>'[68]Flujo vencimientos'!V$28</f>
        <v>50262.6</v>
      </c>
      <c r="Y519" s="546">
        <f>'[68]Flujo vencimientos'!W$28</f>
        <v>11766.67</v>
      </c>
      <c r="Z519" s="545">
        <f>'[68]Flujo vencimientos'!X$28</f>
        <v>50262.6</v>
      </c>
      <c r="AA519" s="546">
        <f>'[68]Flujo vencimientos'!Y$28</f>
        <v>11902.76</v>
      </c>
      <c r="AB519" s="547">
        <f>+N519+P519+R519+T519+V519+X519+Z519</f>
        <v>603151.1999999998</v>
      </c>
      <c r="AC519" s="84">
        <f>O519+Q519+S519+U519+W519+Y519+AA519</f>
        <v>157120.17000000004</v>
      </c>
    </row>
    <row r="520" spans="1:29" ht="13.5" hidden="1" thickBot="1">
      <c r="A520" s="5" t="s">
        <v>8</v>
      </c>
      <c r="B520" s="545"/>
      <c r="C520" s="546"/>
      <c r="D520" s="545"/>
      <c r="E520" s="546"/>
      <c r="F520" s="545"/>
      <c r="G520" s="546"/>
      <c r="H520" s="545"/>
      <c r="I520" s="546"/>
      <c r="J520" s="545"/>
      <c r="K520" s="546"/>
      <c r="L520" s="545"/>
      <c r="M520" s="546"/>
      <c r="N520" s="547">
        <f t="shared" si="226"/>
        <v>0</v>
      </c>
      <c r="O520" s="84">
        <f t="shared" si="226"/>
        <v>0</v>
      </c>
      <c r="P520" s="545"/>
      <c r="Q520" s="546"/>
      <c r="R520" s="545"/>
      <c r="S520" s="546"/>
      <c r="T520" s="545"/>
      <c r="U520" s="546"/>
      <c r="V520" s="545"/>
      <c r="W520" s="546"/>
      <c r="X520" s="545"/>
      <c r="Y520" s="546"/>
      <c r="Z520" s="545"/>
      <c r="AA520" s="546"/>
      <c r="AB520" s="547">
        <f>+N520+P520+R520+T520+V520+X520+Z520</f>
        <v>0</v>
      </c>
      <c r="AC520" s="84">
        <f>O520+Q520+S520+U520+W520+Y520+AA520</f>
        <v>0</v>
      </c>
    </row>
    <row r="521" spans="1:29" ht="13.5" hidden="1" thickBot="1">
      <c r="A521" s="5" t="s">
        <v>11</v>
      </c>
      <c r="B521" s="545"/>
      <c r="C521" s="546"/>
      <c r="D521" s="545"/>
      <c r="E521" s="546"/>
      <c r="F521" s="545"/>
      <c r="G521" s="546"/>
      <c r="H521" s="545"/>
      <c r="I521" s="546"/>
      <c r="J521" s="545"/>
      <c r="K521" s="546"/>
      <c r="L521" s="545"/>
      <c r="M521" s="546"/>
      <c r="N521" s="547">
        <f t="shared" si="226"/>
        <v>0</v>
      </c>
      <c r="O521" s="84">
        <f t="shared" si="226"/>
        <v>0</v>
      </c>
      <c r="P521" s="545"/>
      <c r="Q521" s="546"/>
      <c r="R521" s="545"/>
      <c r="S521" s="546"/>
      <c r="T521" s="545"/>
      <c r="U521" s="546"/>
      <c r="V521" s="545"/>
      <c r="W521" s="546"/>
      <c r="X521" s="545"/>
      <c r="Y521" s="546"/>
      <c r="Z521" s="545"/>
      <c r="AA521" s="546"/>
      <c r="AB521" s="547">
        <f>+N521+P521+R521+T521+V521+X521+Z521</f>
        <v>0</v>
      </c>
      <c r="AC521" s="84">
        <f>O521+Q521+S521+U521+W521+Y521+AA521</f>
        <v>0</v>
      </c>
    </row>
    <row r="522" spans="1:29" s="42" customFormat="1" ht="12.75" thickBot="1">
      <c r="A522" s="30" t="s">
        <v>121</v>
      </c>
      <c r="B522" s="28">
        <f>B518</f>
        <v>50262.6</v>
      </c>
      <c r="C522" s="27">
        <f>C518</f>
        <v>14720.22</v>
      </c>
      <c r="D522" s="28">
        <f aca="true" t="shared" si="227" ref="D522:M522">D518</f>
        <v>50262.6</v>
      </c>
      <c r="E522" s="27">
        <f t="shared" si="227"/>
        <v>13530.92</v>
      </c>
      <c r="F522" s="28">
        <f t="shared" si="227"/>
        <v>50262.6</v>
      </c>
      <c r="G522" s="27">
        <f t="shared" si="227"/>
        <v>14207.96</v>
      </c>
      <c r="H522" s="28">
        <f t="shared" si="227"/>
        <v>50262.6</v>
      </c>
      <c r="I522" s="27">
        <f t="shared" si="227"/>
        <v>13501.77</v>
      </c>
      <c r="J522" s="28">
        <f t="shared" si="227"/>
        <v>50262.6</v>
      </c>
      <c r="K522" s="27">
        <f t="shared" si="227"/>
        <v>13695.69</v>
      </c>
      <c r="L522" s="28">
        <f t="shared" si="227"/>
        <v>50262.6</v>
      </c>
      <c r="M522" s="27">
        <f t="shared" si="227"/>
        <v>13006.02</v>
      </c>
      <c r="N522" s="49">
        <f t="shared" si="226"/>
        <v>301575.6</v>
      </c>
      <c r="O522" s="48">
        <f t="shared" si="226"/>
        <v>82662.58</v>
      </c>
      <c r="P522" s="28">
        <f aca="true" t="shared" si="228" ref="P522:AA522">P518</f>
        <v>50262.6</v>
      </c>
      <c r="Q522" s="27">
        <f t="shared" si="228"/>
        <v>13183.43</v>
      </c>
      <c r="R522" s="28">
        <f t="shared" si="228"/>
        <v>50262.6</v>
      </c>
      <c r="S522" s="27">
        <f t="shared" si="228"/>
        <v>12927.29</v>
      </c>
      <c r="T522" s="28">
        <f t="shared" si="228"/>
        <v>50262.6</v>
      </c>
      <c r="U522" s="27">
        <f t="shared" si="228"/>
        <v>12262.41</v>
      </c>
      <c r="V522" s="28">
        <f t="shared" si="228"/>
        <v>50262.6</v>
      </c>
      <c r="W522" s="27">
        <f t="shared" si="228"/>
        <v>12415.03</v>
      </c>
      <c r="X522" s="28">
        <f t="shared" si="228"/>
        <v>50262.6</v>
      </c>
      <c r="Y522" s="27">
        <f t="shared" si="228"/>
        <v>11766.67</v>
      </c>
      <c r="Z522" s="28">
        <f t="shared" si="228"/>
        <v>50262.6</v>
      </c>
      <c r="AA522" s="27">
        <f t="shared" si="228"/>
        <v>11902.76</v>
      </c>
      <c r="AB522" s="49">
        <f>+N522+P522+R522+T522+V522+X522+Z522</f>
        <v>603151.1999999998</v>
      </c>
      <c r="AC522" s="48">
        <f>O522+Q522+S522+U522+W522+Y522+AA522</f>
        <v>157120.17000000004</v>
      </c>
    </row>
    <row r="527" spans="1:30" ht="27" thickBot="1">
      <c r="A527" s="21"/>
      <c r="B527" s="21"/>
      <c r="C527" s="21"/>
      <c r="D527" s="21"/>
      <c r="E527" s="21"/>
      <c r="F527" s="21"/>
      <c r="G527" s="21"/>
      <c r="H527" s="22" t="s">
        <v>299</v>
      </c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2" t="str">
        <f>H527</f>
        <v>AÑO 2029</v>
      </c>
      <c r="W527" s="21"/>
      <c r="X527" s="21"/>
      <c r="Y527" s="21"/>
      <c r="Z527" s="21"/>
      <c r="AA527" s="21"/>
      <c r="AB527" s="755"/>
      <c r="AC527" s="755"/>
      <c r="AD527" s="16" t="str">
        <f>V527</f>
        <v>AÑO 2029</v>
      </c>
    </row>
    <row r="528" spans="1:29" s="42" customFormat="1" ht="12.75" thickBot="1">
      <c r="A528" s="12" t="s">
        <v>94</v>
      </c>
      <c r="B528" s="39"/>
      <c r="C528" s="39"/>
      <c r="D528" s="39"/>
      <c r="E528" s="39"/>
      <c r="F528" s="39"/>
      <c r="G528" s="39"/>
      <c r="H528" s="78" t="s">
        <v>132</v>
      </c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78" t="str">
        <f>H528</f>
        <v>EN PESOS</v>
      </c>
      <c r="W528" s="39"/>
      <c r="X528" s="39"/>
      <c r="Y528" s="39"/>
      <c r="Z528" s="39"/>
      <c r="AA528" s="39"/>
      <c r="AB528" s="39"/>
      <c r="AC528" s="38"/>
    </row>
    <row r="529" spans="1:29" ht="12.75">
      <c r="A529" s="134" t="s">
        <v>130</v>
      </c>
      <c r="B529" s="32">
        <f aca="true" t="shared" si="229" ref="B529:AC529">SUM(B530:B532)</f>
        <v>50262.6</v>
      </c>
      <c r="C529" s="31">
        <f t="shared" si="229"/>
        <v>11646.63</v>
      </c>
      <c r="D529" s="32">
        <f t="shared" si="229"/>
        <v>50262.6</v>
      </c>
      <c r="E529" s="31">
        <f t="shared" si="229"/>
        <v>10288.19</v>
      </c>
      <c r="F529" s="32">
        <f t="shared" si="229"/>
        <v>50262.6</v>
      </c>
      <c r="G529" s="31">
        <f t="shared" si="229"/>
        <v>11134.36</v>
      </c>
      <c r="H529" s="32">
        <f t="shared" si="229"/>
        <v>50262.6</v>
      </c>
      <c r="I529" s="31">
        <f t="shared" si="229"/>
        <v>10527.32</v>
      </c>
      <c r="J529" s="32">
        <f t="shared" si="229"/>
        <v>50262.6</v>
      </c>
      <c r="K529" s="31">
        <f t="shared" si="229"/>
        <v>10622.1</v>
      </c>
      <c r="L529" s="32">
        <f t="shared" si="229"/>
        <v>50262.6</v>
      </c>
      <c r="M529" s="31">
        <f t="shared" si="229"/>
        <v>10031.58</v>
      </c>
      <c r="N529" s="32">
        <f t="shared" si="229"/>
        <v>301575.6</v>
      </c>
      <c r="O529" s="31">
        <f t="shared" si="229"/>
        <v>64250.18</v>
      </c>
      <c r="P529" s="32">
        <f t="shared" si="229"/>
        <v>50262.6</v>
      </c>
      <c r="Q529" s="31">
        <f t="shared" si="229"/>
        <v>10109.83</v>
      </c>
      <c r="R529" s="32">
        <f t="shared" si="229"/>
        <v>50262.6</v>
      </c>
      <c r="S529" s="31">
        <f t="shared" si="229"/>
        <v>9853.7</v>
      </c>
      <c r="T529" s="32">
        <f t="shared" si="229"/>
        <v>50262.6</v>
      </c>
      <c r="U529" s="31">
        <f t="shared" si="229"/>
        <v>9287.97</v>
      </c>
      <c r="V529" s="32">
        <f t="shared" si="229"/>
        <v>50262.6</v>
      </c>
      <c r="W529" s="31">
        <f t="shared" si="229"/>
        <v>9341.44</v>
      </c>
      <c r="X529" s="32">
        <f t="shared" si="229"/>
        <v>50262.6</v>
      </c>
      <c r="Y529" s="31">
        <f t="shared" si="229"/>
        <v>8792.23</v>
      </c>
      <c r="Z529" s="32">
        <f t="shared" si="229"/>
        <v>50262.6</v>
      </c>
      <c r="AA529" s="31">
        <f t="shared" si="229"/>
        <v>8829.17</v>
      </c>
      <c r="AB529" s="32">
        <f t="shared" si="229"/>
        <v>603151.1999999998</v>
      </c>
      <c r="AC529" s="31">
        <f t="shared" si="229"/>
        <v>120464.51999999999</v>
      </c>
    </row>
    <row r="530" spans="1:29" ht="13.5" thickBot="1">
      <c r="A530" s="5" t="s">
        <v>22</v>
      </c>
      <c r="B530" s="545">
        <f>'[68]Flujo vencimientos'!B$29</f>
        <v>50262.6</v>
      </c>
      <c r="C530" s="546">
        <f>'[68]Flujo vencimientos'!C$29</f>
        <v>11646.63</v>
      </c>
      <c r="D530" s="545">
        <f>'[68]Flujo vencimientos'!D$29</f>
        <v>50262.6</v>
      </c>
      <c r="E530" s="546">
        <f>'[68]Flujo vencimientos'!E$29</f>
        <v>10288.19</v>
      </c>
      <c r="F530" s="545">
        <f>'[68]Flujo vencimientos'!F$29</f>
        <v>50262.6</v>
      </c>
      <c r="G530" s="546">
        <f>'[68]Flujo vencimientos'!G$29</f>
        <v>11134.36</v>
      </c>
      <c r="H530" s="545">
        <f>'[68]Flujo vencimientos'!H$29</f>
        <v>50262.6</v>
      </c>
      <c r="I530" s="546">
        <f>'[68]Flujo vencimientos'!I$29</f>
        <v>10527.32</v>
      </c>
      <c r="J530" s="545">
        <f>'[68]Flujo vencimientos'!J$29</f>
        <v>50262.6</v>
      </c>
      <c r="K530" s="546">
        <f>'[68]Flujo vencimientos'!K$29</f>
        <v>10622.1</v>
      </c>
      <c r="L530" s="545">
        <f>'[68]Flujo vencimientos'!L$29</f>
        <v>50262.6</v>
      </c>
      <c r="M530" s="546">
        <f>'[68]Flujo vencimientos'!M$29</f>
        <v>10031.58</v>
      </c>
      <c r="N530" s="547">
        <f aca="true" t="shared" si="230" ref="N530:O533">B530+D530+F530+H530+J530+L530</f>
        <v>301575.6</v>
      </c>
      <c r="O530" s="84">
        <f t="shared" si="230"/>
        <v>64250.18</v>
      </c>
      <c r="P530" s="545">
        <f>'[68]Flujo vencimientos'!N$29</f>
        <v>50262.6</v>
      </c>
      <c r="Q530" s="546">
        <f>'[68]Flujo vencimientos'!O$29</f>
        <v>10109.83</v>
      </c>
      <c r="R530" s="545">
        <f>'[68]Flujo vencimientos'!P$29</f>
        <v>50262.6</v>
      </c>
      <c r="S530" s="546">
        <f>'[68]Flujo vencimientos'!Q$29</f>
        <v>9853.7</v>
      </c>
      <c r="T530" s="545">
        <f>'[68]Flujo vencimientos'!R$29</f>
        <v>50262.6</v>
      </c>
      <c r="U530" s="546">
        <f>'[68]Flujo vencimientos'!S$29</f>
        <v>9287.97</v>
      </c>
      <c r="V530" s="545">
        <f>'[68]Flujo vencimientos'!T$29</f>
        <v>50262.6</v>
      </c>
      <c r="W530" s="546">
        <f>'[68]Flujo vencimientos'!U$29</f>
        <v>9341.44</v>
      </c>
      <c r="X530" s="545">
        <f>'[68]Flujo vencimientos'!V$29</f>
        <v>50262.6</v>
      </c>
      <c r="Y530" s="546">
        <f>'[68]Flujo vencimientos'!W$29</f>
        <v>8792.23</v>
      </c>
      <c r="Z530" s="545">
        <f>'[68]Flujo vencimientos'!X$29</f>
        <v>50262.6</v>
      </c>
      <c r="AA530" s="546">
        <f>'[68]Flujo vencimientos'!Y$29</f>
        <v>8829.17</v>
      </c>
      <c r="AB530" s="547">
        <f>+N530+P530+R530+T530+V530+X530+Z530</f>
        <v>603151.1999999998</v>
      </c>
      <c r="AC530" s="84">
        <f>O530+Q530+S530+U530+W530+Y530+AA530</f>
        <v>120464.51999999999</v>
      </c>
    </row>
    <row r="531" spans="1:29" ht="13.5" hidden="1" thickBot="1">
      <c r="A531" s="5" t="s">
        <v>8</v>
      </c>
      <c r="B531" s="545"/>
      <c r="C531" s="546"/>
      <c r="D531" s="545"/>
      <c r="E531" s="546"/>
      <c r="F531" s="545"/>
      <c r="G531" s="546"/>
      <c r="H531" s="545"/>
      <c r="I531" s="546"/>
      <c r="J531" s="545"/>
      <c r="K531" s="546"/>
      <c r="L531" s="545"/>
      <c r="M531" s="546"/>
      <c r="N531" s="547">
        <f t="shared" si="230"/>
        <v>0</v>
      </c>
      <c r="O531" s="84">
        <f t="shared" si="230"/>
        <v>0</v>
      </c>
      <c r="P531" s="545"/>
      <c r="Q531" s="546"/>
      <c r="R531" s="545"/>
      <c r="S531" s="546"/>
      <c r="T531" s="545"/>
      <c r="U531" s="546"/>
      <c r="V531" s="545"/>
      <c r="W531" s="546"/>
      <c r="X531" s="545"/>
      <c r="Y531" s="546"/>
      <c r="Z531" s="545"/>
      <c r="AA531" s="546"/>
      <c r="AB531" s="547">
        <f>+N531+P531+R531+T531+V531+X531+Z531</f>
        <v>0</v>
      </c>
      <c r="AC531" s="84">
        <f>O531+Q531+S531+U531+W531+Y531+AA531</f>
        <v>0</v>
      </c>
    </row>
    <row r="532" spans="1:29" ht="13.5" hidden="1" thickBot="1">
      <c r="A532" s="5" t="s">
        <v>11</v>
      </c>
      <c r="B532" s="545"/>
      <c r="C532" s="546"/>
      <c r="D532" s="545"/>
      <c r="E532" s="546"/>
      <c r="F532" s="545"/>
      <c r="G532" s="546"/>
      <c r="H532" s="545"/>
      <c r="I532" s="546"/>
      <c r="J532" s="545"/>
      <c r="K532" s="546"/>
      <c r="L532" s="545"/>
      <c r="M532" s="546"/>
      <c r="N532" s="547">
        <f t="shared" si="230"/>
        <v>0</v>
      </c>
      <c r="O532" s="84">
        <f t="shared" si="230"/>
        <v>0</v>
      </c>
      <c r="P532" s="545"/>
      <c r="Q532" s="546"/>
      <c r="R532" s="545"/>
      <c r="S532" s="546"/>
      <c r="T532" s="545"/>
      <c r="U532" s="546"/>
      <c r="V532" s="545"/>
      <c r="W532" s="546"/>
      <c r="X532" s="545"/>
      <c r="Y532" s="546"/>
      <c r="Z532" s="545"/>
      <c r="AA532" s="546"/>
      <c r="AB532" s="547">
        <f>+N532+P532+R532+T532+V532+X532+Z532</f>
        <v>0</v>
      </c>
      <c r="AC532" s="84">
        <f>O532+Q532+S532+U532+W532+Y532+AA532</f>
        <v>0</v>
      </c>
    </row>
    <row r="533" spans="1:29" s="42" customFormat="1" ht="12.75" thickBot="1">
      <c r="A533" s="30" t="s">
        <v>121</v>
      </c>
      <c r="B533" s="28">
        <f>B529</f>
        <v>50262.6</v>
      </c>
      <c r="C533" s="27">
        <f>C529</f>
        <v>11646.63</v>
      </c>
      <c r="D533" s="28">
        <f aca="true" t="shared" si="231" ref="D533:M533">D529</f>
        <v>50262.6</v>
      </c>
      <c r="E533" s="27">
        <f t="shared" si="231"/>
        <v>10288.19</v>
      </c>
      <c r="F533" s="28">
        <f t="shared" si="231"/>
        <v>50262.6</v>
      </c>
      <c r="G533" s="27">
        <f t="shared" si="231"/>
        <v>11134.36</v>
      </c>
      <c r="H533" s="28">
        <f t="shared" si="231"/>
        <v>50262.6</v>
      </c>
      <c r="I533" s="27">
        <f t="shared" si="231"/>
        <v>10527.32</v>
      </c>
      <c r="J533" s="28">
        <f t="shared" si="231"/>
        <v>50262.6</v>
      </c>
      <c r="K533" s="27">
        <f t="shared" si="231"/>
        <v>10622.1</v>
      </c>
      <c r="L533" s="28">
        <f t="shared" si="231"/>
        <v>50262.6</v>
      </c>
      <c r="M533" s="27">
        <f t="shared" si="231"/>
        <v>10031.58</v>
      </c>
      <c r="N533" s="49">
        <f t="shared" si="230"/>
        <v>301575.6</v>
      </c>
      <c r="O533" s="48">
        <f t="shared" si="230"/>
        <v>64250.18</v>
      </c>
      <c r="P533" s="28">
        <f aca="true" t="shared" si="232" ref="P533:AA533">P529</f>
        <v>50262.6</v>
      </c>
      <c r="Q533" s="27">
        <f t="shared" si="232"/>
        <v>10109.83</v>
      </c>
      <c r="R533" s="28">
        <f t="shared" si="232"/>
        <v>50262.6</v>
      </c>
      <c r="S533" s="27">
        <f t="shared" si="232"/>
        <v>9853.7</v>
      </c>
      <c r="T533" s="28">
        <f t="shared" si="232"/>
        <v>50262.6</v>
      </c>
      <c r="U533" s="27">
        <f t="shared" si="232"/>
        <v>9287.97</v>
      </c>
      <c r="V533" s="28">
        <f t="shared" si="232"/>
        <v>50262.6</v>
      </c>
      <c r="W533" s="27">
        <f t="shared" si="232"/>
        <v>9341.44</v>
      </c>
      <c r="X533" s="28">
        <f t="shared" si="232"/>
        <v>50262.6</v>
      </c>
      <c r="Y533" s="27">
        <f t="shared" si="232"/>
        <v>8792.23</v>
      </c>
      <c r="Z533" s="28">
        <f t="shared" si="232"/>
        <v>50262.6</v>
      </c>
      <c r="AA533" s="27">
        <f t="shared" si="232"/>
        <v>8829.17</v>
      </c>
      <c r="AB533" s="49">
        <f>+N533+P533+R533+T533+V533+X533+Z533</f>
        <v>603151.1999999998</v>
      </c>
      <c r="AC533" s="48">
        <f>O533+Q533+S533+U533+W533+Y533+AA533</f>
        <v>120464.51999999999</v>
      </c>
    </row>
    <row r="537" spans="1:30" ht="27" thickBot="1">
      <c r="A537" s="21"/>
      <c r="B537" s="21"/>
      <c r="C537" s="21"/>
      <c r="D537" s="21"/>
      <c r="E537" s="21"/>
      <c r="F537" s="21"/>
      <c r="G537" s="21"/>
      <c r="H537" s="22" t="s">
        <v>300</v>
      </c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2" t="str">
        <f>H537</f>
        <v>AÑO 2030</v>
      </c>
      <c r="W537" s="21"/>
      <c r="X537" s="21"/>
      <c r="Y537" s="21"/>
      <c r="Z537" s="21"/>
      <c r="AA537" s="21"/>
      <c r="AB537" s="755"/>
      <c r="AC537" s="755"/>
      <c r="AD537" s="16" t="str">
        <f>V537</f>
        <v>AÑO 2030</v>
      </c>
    </row>
    <row r="538" spans="1:29" s="42" customFormat="1" ht="12.75" thickBot="1">
      <c r="A538" s="12" t="s">
        <v>94</v>
      </c>
      <c r="B538" s="39"/>
      <c r="C538" s="39"/>
      <c r="D538" s="39"/>
      <c r="E538" s="39"/>
      <c r="F538" s="39"/>
      <c r="G538" s="39"/>
      <c r="H538" s="78" t="s">
        <v>132</v>
      </c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78" t="str">
        <f>H538</f>
        <v>EN PESOS</v>
      </c>
      <c r="W538" s="39"/>
      <c r="X538" s="39"/>
      <c r="Y538" s="39"/>
      <c r="Z538" s="39"/>
      <c r="AA538" s="39"/>
      <c r="AB538" s="39"/>
      <c r="AC538" s="38"/>
    </row>
    <row r="539" spans="1:29" ht="12.75">
      <c r="A539" s="134" t="s">
        <v>130</v>
      </c>
      <c r="B539" s="32">
        <f aca="true" t="shared" si="233" ref="B539:AC539">SUM(B540:B542)</f>
        <v>50262.6</v>
      </c>
      <c r="C539" s="31">
        <f t="shared" si="233"/>
        <v>8573.04</v>
      </c>
      <c r="D539" s="32">
        <f t="shared" si="233"/>
        <v>50262.6</v>
      </c>
      <c r="E539" s="31">
        <f t="shared" si="233"/>
        <v>7512.04</v>
      </c>
      <c r="F539" s="32">
        <f t="shared" si="233"/>
        <v>50262.6</v>
      </c>
      <c r="G539" s="31">
        <f t="shared" si="233"/>
        <v>8060.77</v>
      </c>
      <c r="H539" s="32">
        <f t="shared" si="233"/>
        <v>50262.6</v>
      </c>
      <c r="I539" s="31">
        <f t="shared" si="233"/>
        <v>7552.88</v>
      </c>
      <c r="J539" s="32">
        <f t="shared" si="233"/>
        <v>50262.6</v>
      </c>
      <c r="K539" s="31">
        <f t="shared" si="233"/>
        <v>7548.51</v>
      </c>
      <c r="L539" s="32">
        <f t="shared" si="233"/>
        <v>50262.6</v>
      </c>
      <c r="M539" s="31">
        <f t="shared" si="233"/>
        <v>7057.14</v>
      </c>
      <c r="N539" s="32">
        <f t="shared" si="233"/>
        <v>301575.6</v>
      </c>
      <c r="O539" s="31">
        <f t="shared" si="233"/>
        <v>46304.380000000005</v>
      </c>
      <c r="P539" s="32">
        <f t="shared" si="233"/>
        <v>50262.6</v>
      </c>
      <c r="Q539" s="31">
        <f t="shared" si="233"/>
        <v>7036.24</v>
      </c>
      <c r="R539" s="32">
        <f t="shared" si="233"/>
        <v>50262.6</v>
      </c>
      <c r="S539" s="31">
        <f t="shared" si="233"/>
        <v>6780.11</v>
      </c>
      <c r="T539" s="32">
        <f t="shared" si="233"/>
        <v>50262.6</v>
      </c>
      <c r="U539" s="31">
        <f t="shared" si="233"/>
        <v>6313.53</v>
      </c>
      <c r="V539" s="32">
        <f t="shared" si="233"/>
        <v>50262.6</v>
      </c>
      <c r="W539" s="31">
        <f t="shared" si="233"/>
        <v>6267.84</v>
      </c>
      <c r="X539" s="32">
        <f t="shared" si="233"/>
        <v>50262.6</v>
      </c>
      <c r="Y539" s="31">
        <f t="shared" si="233"/>
        <v>5817.78</v>
      </c>
      <c r="Z539" s="32">
        <f t="shared" si="233"/>
        <v>1129454.8000000524</v>
      </c>
      <c r="AA539" s="31">
        <f t="shared" si="233"/>
        <v>5755.58</v>
      </c>
      <c r="AB539" s="32">
        <f t="shared" si="233"/>
        <v>1682343.4000000523</v>
      </c>
      <c r="AC539" s="31">
        <f t="shared" si="233"/>
        <v>84275.46</v>
      </c>
    </row>
    <row r="540" spans="1:29" ht="13.5" thickBot="1">
      <c r="A540" s="5" t="s">
        <v>22</v>
      </c>
      <c r="B540" s="545">
        <f>'[68]Flujo vencimientos'!B$30</f>
        <v>50262.6</v>
      </c>
      <c r="C540" s="546">
        <f>'[68]Flujo vencimientos'!C$30</f>
        <v>8573.04</v>
      </c>
      <c r="D540" s="545">
        <f>'[68]Flujo vencimientos'!D$30</f>
        <v>50262.6</v>
      </c>
      <c r="E540" s="546">
        <f>'[68]Flujo vencimientos'!E$30</f>
        <v>7512.04</v>
      </c>
      <c r="F540" s="545">
        <f>'[68]Flujo vencimientos'!F$30</f>
        <v>50262.6</v>
      </c>
      <c r="G540" s="546">
        <f>'[68]Flujo vencimientos'!G$30</f>
        <v>8060.77</v>
      </c>
      <c r="H540" s="545">
        <f>'[68]Flujo vencimientos'!H$30</f>
        <v>50262.6</v>
      </c>
      <c r="I540" s="546">
        <f>'[68]Flujo vencimientos'!I$30</f>
        <v>7552.88</v>
      </c>
      <c r="J540" s="545">
        <f>'[68]Flujo vencimientos'!J$30</f>
        <v>50262.6</v>
      </c>
      <c r="K540" s="546">
        <f>'[68]Flujo vencimientos'!K$30</f>
        <v>7548.51</v>
      </c>
      <c r="L540" s="545">
        <f>'[68]Flujo vencimientos'!L$30</f>
        <v>50262.6</v>
      </c>
      <c r="M540" s="546">
        <f>'[68]Flujo vencimientos'!M$30</f>
        <v>7057.14</v>
      </c>
      <c r="N540" s="547">
        <f aca="true" t="shared" si="234" ref="N540:O543">B540+D540+F540+H540+J540+L540</f>
        <v>301575.6</v>
      </c>
      <c r="O540" s="84">
        <f t="shared" si="234"/>
        <v>46304.380000000005</v>
      </c>
      <c r="P540" s="545">
        <f>'[68]Flujo vencimientos'!N$30</f>
        <v>50262.6</v>
      </c>
      <c r="Q540" s="546">
        <f>'[68]Flujo vencimientos'!O$30</f>
        <v>7036.24</v>
      </c>
      <c r="R540" s="545">
        <f>'[68]Flujo vencimientos'!P$30</f>
        <v>50262.6</v>
      </c>
      <c r="S540" s="546">
        <f>'[68]Flujo vencimientos'!Q$30</f>
        <v>6780.11</v>
      </c>
      <c r="T540" s="545">
        <f>'[68]Flujo vencimientos'!R$30</f>
        <v>50262.6</v>
      </c>
      <c r="U540" s="546">
        <f>'[68]Flujo vencimientos'!S$30</f>
        <v>6313.53</v>
      </c>
      <c r="V540" s="545">
        <f>'[68]Flujo vencimientos'!T$30</f>
        <v>50262.6</v>
      </c>
      <c r="W540" s="546">
        <f>'[68]Flujo vencimientos'!U$30</f>
        <v>6267.84</v>
      </c>
      <c r="X540" s="545">
        <f>'[68]Flujo vencimientos'!V$30</f>
        <v>50262.6</v>
      </c>
      <c r="Y540" s="546">
        <f>'[68]Flujo vencimientos'!W$30</f>
        <v>5817.78</v>
      </c>
      <c r="Z540" s="545">
        <f>'[68]Flujo vencimientos'!X$30</f>
        <v>1129454.8000000524</v>
      </c>
      <c r="AA540" s="546">
        <f>'[68]Flujo vencimientos'!Y$30</f>
        <v>5755.58</v>
      </c>
      <c r="AB540" s="547">
        <f>+N540+P540+R540+T540+V540+X540+Z540</f>
        <v>1682343.4000000523</v>
      </c>
      <c r="AC540" s="84">
        <f>O540+Q540+S540+U540+W540+Y540+AA540</f>
        <v>84275.46</v>
      </c>
    </row>
    <row r="541" spans="1:29" ht="13.5" hidden="1" thickBot="1">
      <c r="A541" s="5" t="s">
        <v>8</v>
      </c>
      <c r="B541" s="545"/>
      <c r="C541" s="546"/>
      <c r="D541" s="545"/>
      <c r="E541" s="546"/>
      <c r="F541" s="545"/>
      <c r="G541" s="546"/>
      <c r="H541" s="545"/>
      <c r="I541" s="546"/>
      <c r="J541" s="545"/>
      <c r="K541" s="546"/>
      <c r="L541" s="545"/>
      <c r="M541" s="546"/>
      <c r="N541" s="547">
        <f t="shared" si="234"/>
        <v>0</v>
      </c>
      <c r="O541" s="84">
        <f t="shared" si="234"/>
        <v>0</v>
      </c>
      <c r="P541" s="545"/>
      <c r="Q541" s="546"/>
      <c r="R541" s="545"/>
      <c r="S541" s="546"/>
      <c r="T541" s="545"/>
      <c r="U541" s="546"/>
      <c r="V541" s="545"/>
      <c r="W541" s="546"/>
      <c r="X541" s="545"/>
      <c r="Y541" s="546"/>
      <c r="Z541" s="545"/>
      <c r="AA541" s="546"/>
      <c r="AB541" s="547">
        <f>+N541+P541+R541+T541+V541+X541+Z541</f>
        <v>0</v>
      </c>
      <c r="AC541" s="84">
        <f>O541+Q541+S541+U541+W541+Y541+AA541</f>
        <v>0</v>
      </c>
    </row>
    <row r="542" spans="1:29" ht="13.5" hidden="1" thickBot="1">
      <c r="A542" s="5" t="s">
        <v>11</v>
      </c>
      <c r="B542" s="545"/>
      <c r="C542" s="546"/>
      <c r="D542" s="545"/>
      <c r="E542" s="546"/>
      <c r="F542" s="545"/>
      <c r="G542" s="546"/>
      <c r="H542" s="545"/>
      <c r="I542" s="546"/>
      <c r="J542" s="545"/>
      <c r="K542" s="546"/>
      <c r="L542" s="545"/>
      <c r="M542" s="546"/>
      <c r="N542" s="547">
        <f t="shared" si="234"/>
        <v>0</v>
      </c>
      <c r="O542" s="84">
        <f t="shared" si="234"/>
        <v>0</v>
      </c>
      <c r="P542" s="545"/>
      <c r="Q542" s="546"/>
      <c r="R542" s="545"/>
      <c r="S542" s="546"/>
      <c r="T542" s="545"/>
      <c r="U542" s="546"/>
      <c r="V542" s="545"/>
      <c r="W542" s="546"/>
      <c r="X542" s="545"/>
      <c r="Y542" s="546"/>
      <c r="Z542" s="545"/>
      <c r="AA542" s="546"/>
      <c r="AB542" s="547">
        <f>+N542+P542+R542+T542+V542+X542+Z542</f>
        <v>0</v>
      </c>
      <c r="AC542" s="84">
        <f>O542+Q542+S542+U542+W542+Y542+AA542</f>
        <v>0</v>
      </c>
    </row>
    <row r="543" spans="1:29" s="42" customFormat="1" ht="12.75" thickBot="1">
      <c r="A543" s="30" t="s">
        <v>121</v>
      </c>
      <c r="B543" s="28">
        <f>B539</f>
        <v>50262.6</v>
      </c>
      <c r="C543" s="27">
        <f>C539</f>
        <v>8573.04</v>
      </c>
      <c r="D543" s="28">
        <f aca="true" t="shared" si="235" ref="D543:M543">D539</f>
        <v>50262.6</v>
      </c>
      <c r="E543" s="27">
        <f t="shared" si="235"/>
        <v>7512.04</v>
      </c>
      <c r="F543" s="28">
        <f t="shared" si="235"/>
        <v>50262.6</v>
      </c>
      <c r="G543" s="27">
        <f t="shared" si="235"/>
        <v>8060.77</v>
      </c>
      <c r="H543" s="28">
        <f t="shared" si="235"/>
        <v>50262.6</v>
      </c>
      <c r="I543" s="27">
        <f t="shared" si="235"/>
        <v>7552.88</v>
      </c>
      <c r="J543" s="28">
        <f t="shared" si="235"/>
        <v>50262.6</v>
      </c>
      <c r="K543" s="27">
        <f t="shared" si="235"/>
        <v>7548.51</v>
      </c>
      <c r="L543" s="28">
        <f t="shared" si="235"/>
        <v>50262.6</v>
      </c>
      <c r="M543" s="27">
        <f t="shared" si="235"/>
        <v>7057.14</v>
      </c>
      <c r="N543" s="49">
        <f t="shared" si="234"/>
        <v>301575.6</v>
      </c>
      <c r="O543" s="48">
        <f t="shared" si="234"/>
        <v>46304.380000000005</v>
      </c>
      <c r="P543" s="28">
        <f aca="true" t="shared" si="236" ref="P543:AA543">P539</f>
        <v>50262.6</v>
      </c>
      <c r="Q543" s="27">
        <f t="shared" si="236"/>
        <v>7036.24</v>
      </c>
      <c r="R543" s="28">
        <f t="shared" si="236"/>
        <v>50262.6</v>
      </c>
      <c r="S543" s="27">
        <f t="shared" si="236"/>
        <v>6780.11</v>
      </c>
      <c r="T543" s="28">
        <f t="shared" si="236"/>
        <v>50262.6</v>
      </c>
      <c r="U543" s="27">
        <f t="shared" si="236"/>
        <v>6313.53</v>
      </c>
      <c r="V543" s="28">
        <f t="shared" si="236"/>
        <v>50262.6</v>
      </c>
      <c r="W543" s="27">
        <f t="shared" si="236"/>
        <v>6267.84</v>
      </c>
      <c r="X543" s="28">
        <f t="shared" si="236"/>
        <v>50262.6</v>
      </c>
      <c r="Y543" s="27">
        <f t="shared" si="236"/>
        <v>5817.78</v>
      </c>
      <c r="Z543" s="28">
        <f t="shared" si="236"/>
        <v>1129454.8000000524</v>
      </c>
      <c r="AA543" s="27">
        <f t="shared" si="236"/>
        <v>5755.58</v>
      </c>
      <c r="AB543" s="49">
        <f>+N543+P543+R543+T543+V543+X543+Z543</f>
        <v>1682343.4000000523</v>
      </c>
      <c r="AC543" s="48">
        <f>O543+Q543+S543+U543+W543+Y543+AA543</f>
        <v>84275.46</v>
      </c>
    </row>
  </sheetData>
  <sheetProtection/>
  <mergeCells count="33">
    <mergeCell ref="AB432:AC432"/>
    <mergeCell ref="AB211:AC211"/>
    <mergeCell ref="AB253:AC253"/>
    <mergeCell ref="AB294:AC294"/>
    <mergeCell ref="AB333:AC333"/>
    <mergeCell ref="AB369:AC369"/>
    <mergeCell ref="AB401:AC401"/>
    <mergeCell ref="AB149:AC149"/>
    <mergeCell ref="T7:U7"/>
    <mergeCell ref="AB11:AC11"/>
    <mergeCell ref="AB7:AC7"/>
    <mergeCell ref="X7:Y7"/>
    <mergeCell ref="AB81:AC81"/>
    <mergeCell ref="B7:C7"/>
    <mergeCell ref="L7:M7"/>
    <mergeCell ref="J7:K7"/>
    <mergeCell ref="H7:I7"/>
    <mergeCell ref="F7:G7"/>
    <mergeCell ref="D7:E7"/>
    <mergeCell ref="N7:O7"/>
    <mergeCell ref="R7:S7"/>
    <mergeCell ref="P7:Q7"/>
    <mergeCell ref="Z7:AA7"/>
    <mergeCell ref="V7:W7"/>
    <mergeCell ref="AB458:AC458"/>
    <mergeCell ref="AB467:AC467"/>
    <mergeCell ref="AB477:AC477"/>
    <mergeCell ref="AB486:AC486"/>
    <mergeCell ref="AB496:AC496"/>
    <mergeCell ref="AB506:AC506"/>
    <mergeCell ref="AB516:AC516"/>
    <mergeCell ref="AB527:AC527"/>
    <mergeCell ref="AB537:AC537"/>
  </mergeCells>
  <printOptions horizontalCentered="1"/>
  <pageMargins left="0" right="0" top="0" bottom="0" header="0" footer="0.3937007874015748"/>
  <pageSetup firstPageNumber="2" useFirstPageNumber="1" horizontalDpi="600" verticalDpi="600" orientation="portrait" pageOrder="overThenDown" paperSize="9" scale="70" r:id="rId2"/>
  <headerFooter alignWithMargins="0">
    <oddFooter>&amp;CPágina Nº &amp;P</oddFooter>
  </headerFooter>
  <ignoredErrors>
    <ignoredError sqref="N142:O142 O143 N139:O139 AB168:AC184 AB188:AC190 AB201:AC201 AB204:AC205 D419:M419 P419:AA419 B425:M425 P425:AA425 AB139:AC139 AB142:AC142 AC143 B123:M123 P123:AA123 B138:M138 P138:AA138 B185:M185 P185:AA185 B200:M200 P200:AA200 B233:M233 P233:AA233 B242:M242 P242:AA242 B275:M275 P275:AA275 B284:M284 P284:AA284 B317:M317 B323:C323 D323:M323 P323:AA323 B355:M355 P355:AA355 B361:M361 P361:AA361 D351:M351 P351:AA351 N352:O354 AB352:AC354 AC363 B387:M387 P387:AA387 B393:M393 P393:AA393 AB394:AC395 N394:O395 B419:C419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R115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23.8515625" style="0" customWidth="1"/>
    <col min="2" max="3" width="8.8515625" style="0" customWidth="1"/>
    <col min="4" max="4" width="9.00390625" style="0" customWidth="1"/>
    <col min="5" max="5" width="9.57421875" style="0" customWidth="1"/>
    <col min="6" max="6" width="9.00390625" style="0" customWidth="1"/>
    <col min="7" max="7" width="8.28125" style="0" customWidth="1"/>
    <col min="8" max="8" width="8.8515625" style="0" customWidth="1"/>
    <col min="9" max="9" width="8.28125" style="0" customWidth="1"/>
    <col min="10" max="10" width="9.140625" style="0" customWidth="1"/>
    <col min="11" max="11" width="8.140625" style="0" customWidth="1"/>
    <col min="12" max="12" width="9.140625" style="0" customWidth="1"/>
    <col min="13" max="13" width="8.28125" style="0" bestFit="1" customWidth="1"/>
    <col min="14" max="14" width="9.00390625" style="0" customWidth="1"/>
    <col min="15" max="15" width="8.00390625" style="0" customWidth="1"/>
    <col min="16" max="16" width="9.421875" style="0" customWidth="1"/>
    <col min="17" max="17" width="8.140625" style="0" customWidth="1"/>
    <col min="18" max="18" width="9.140625" style="0" bestFit="1" customWidth="1"/>
    <col min="19" max="19" width="7.7109375" style="0" customWidth="1"/>
    <col min="20" max="20" width="9.140625" style="0" bestFit="1" customWidth="1"/>
    <col min="21" max="21" width="6.8515625" style="0" customWidth="1"/>
    <col min="22" max="22" width="7.00390625" style="0" bestFit="1" customWidth="1"/>
    <col min="23" max="23" width="6.8515625" style="0" customWidth="1"/>
    <col min="24" max="24" width="7.00390625" style="0" bestFit="1" customWidth="1"/>
    <col min="25" max="25" width="6.8515625" style="0" customWidth="1"/>
    <col min="26" max="26" width="7.00390625" style="0" bestFit="1" customWidth="1"/>
    <col min="27" max="27" width="6.8515625" style="0" customWidth="1"/>
    <col min="28" max="28" width="7.00390625" style="0" bestFit="1" customWidth="1"/>
    <col min="29" max="29" width="6.8515625" style="0" customWidth="1"/>
    <col min="30" max="30" width="7.00390625" style="0" bestFit="1" customWidth="1"/>
    <col min="31" max="31" width="6.8515625" style="0" customWidth="1"/>
    <col min="32" max="32" width="7.00390625" style="0" bestFit="1" customWidth="1"/>
    <col min="33" max="33" width="6.8515625" style="0" customWidth="1"/>
    <col min="34" max="34" width="7.00390625" style="0" bestFit="1" customWidth="1"/>
    <col min="35" max="35" width="6.8515625" style="0" customWidth="1"/>
    <col min="36" max="36" width="7.00390625" style="0" bestFit="1" customWidth="1"/>
    <col min="37" max="37" width="6.8515625" style="0" customWidth="1"/>
    <col min="38" max="38" width="8.28125" style="0" bestFit="1" customWidth="1"/>
    <col min="39" max="39" width="6.8515625" style="0" customWidth="1"/>
    <col min="40" max="40" width="11.28125" style="0" customWidth="1"/>
    <col min="41" max="41" width="10.140625" style="0" customWidth="1"/>
    <col min="42" max="42" width="11.7109375" style="0" bestFit="1" customWidth="1"/>
  </cols>
  <sheetData>
    <row r="1" spans="1:44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21"/>
      <c r="I1" s="46"/>
      <c r="J1" s="21"/>
      <c r="K1" s="21"/>
      <c r="L1" s="21"/>
      <c r="M1" s="46"/>
      <c r="N1" s="21"/>
      <c r="O1" s="46" t="s">
        <v>88</v>
      </c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46" t="s">
        <v>88</v>
      </c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46" t="s">
        <v>88</v>
      </c>
    </row>
    <row r="2" spans="1:39" ht="18" customHeight="1">
      <c r="A2" s="25"/>
      <c r="H2" s="24" t="s">
        <v>119</v>
      </c>
      <c r="V2" s="24" t="str">
        <f>H2</f>
        <v>FLUJO ANUAL DE LA DEUDA</v>
      </c>
      <c r="AM2" s="24" t="str">
        <f>V2</f>
        <v>FLUJO ANUAL DE LA DEUDA</v>
      </c>
    </row>
    <row r="3" spans="1:39" ht="18" customHeight="1">
      <c r="A3" s="25"/>
      <c r="H3" s="24" t="s">
        <v>302</v>
      </c>
      <c r="V3" s="24" t="s">
        <v>303</v>
      </c>
      <c r="AM3" s="24" t="s">
        <v>304</v>
      </c>
    </row>
    <row r="4" spans="1:44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21"/>
      <c r="I4" s="46"/>
      <c r="J4" s="21"/>
      <c r="K4" s="21"/>
      <c r="L4" s="21"/>
      <c r="M4" s="46"/>
      <c r="N4" s="21"/>
      <c r="O4" s="46" t="s">
        <v>85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46" t="s">
        <v>85</v>
      </c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46" t="s">
        <v>85</v>
      </c>
    </row>
    <row r="5" spans="1:18" ht="12.75">
      <c r="A5" s="601" t="s">
        <v>325</v>
      </c>
      <c r="F5" s="17"/>
      <c r="Q5" s="269"/>
      <c r="R5" s="17"/>
    </row>
    <row r="6" ht="13.5" thickBot="1">
      <c r="A6" s="16"/>
    </row>
    <row r="7" spans="1:41" s="55" customFormat="1" ht="13.5" thickBot="1">
      <c r="A7" s="66" t="s">
        <v>97</v>
      </c>
      <c r="B7" s="756">
        <v>2012</v>
      </c>
      <c r="C7" s="757"/>
      <c r="D7" s="756">
        <v>2013</v>
      </c>
      <c r="E7" s="757"/>
      <c r="F7" s="756">
        <v>2014</v>
      </c>
      <c r="G7" s="757"/>
      <c r="H7" s="756">
        <v>2015</v>
      </c>
      <c r="I7" s="757"/>
      <c r="J7" s="756">
        <v>2016</v>
      </c>
      <c r="K7" s="757"/>
      <c r="L7" s="756">
        <v>2017</v>
      </c>
      <c r="M7" s="757"/>
      <c r="N7" s="756">
        <v>2018</v>
      </c>
      <c r="O7" s="757"/>
      <c r="P7" s="756">
        <v>2019</v>
      </c>
      <c r="Q7" s="757"/>
      <c r="R7" s="756">
        <v>2020</v>
      </c>
      <c r="S7" s="757"/>
      <c r="T7" s="756">
        <v>2021</v>
      </c>
      <c r="U7" s="757"/>
      <c r="V7" s="756">
        <v>2022</v>
      </c>
      <c r="W7" s="757"/>
      <c r="X7" s="756">
        <v>2023</v>
      </c>
      <c r="Y7" s="757"/>
      <c r="Z7" s="756">
        <v>2024</v>
      </c>
      <c r="AA7" s="757"/>
      <c r="AB7" s="756">
        <v>2025</v>
      </c>
      <c r="AC7" s="757"/>
      <c r="AD7" s="756">
        <v>2026</v>
      </c>
      <c r="AE7" s="757"/>
      <c r="AF7" s="756">
        <v>2027</v>
      </c>
      <c r="AG7" s="757"/>
      <c r="AH7" s="756">
        <v>2028</v>
      </c>
      <c r="AI7" s="757"/>
      <c r="AJ7" s="756">
        <v>2029</v>
      </c>
      <c r="AK7" s="757"/>
      <c r="AL7" s="756">
        <v>2030</v>
      </c>
      <c r="AM7" s="757"/>
      <c r="AN7" s="756" t="s">
        <v>103</v>
      </c>
      <c r="AO7" s="757"/>
    </row>
    <row r="8" spans="1:41" s="55" customFormat="1" ht="12.75">
      <c r="A8" s="65"/>
      <c r="B8" s="62" t="s">
        <v>102</v>
      </c>
      <c r="C8" s="61" t="s">
        <v>78</v>
      </c>
      <c r="D8" s="62" t="s">
        <v>102</v>
      </c>
      <c r="E8" s="61" t="s">
        <v>78</v>
      </c>
      <c r="F8" s="62" t="s">
        <v>102</v>
      </c>
      <c r="G8" s="61" t="s">
        <v>78</v>
      </c>
      <c r="H8" s="62" t="s">
        <v>102</v>
      </c>
      <c r="I8" s="61" t="s">
        <v>78</v>
      </c>
      <c r="J8" s="62" t="s">
        <v>102</v>
      </c>
      <c r="K8" s="61" t="s">
        <v>78</v>
      </c>
      <c r="L8" s="62" t="s">
        <v>102</v>
      </c>
      <c r="M8" s="61" t="s">
        <v>78</v>
      </c>
      <c r="N8" s="62" t="s">
        <v>102</v>
      </c>
      <c r="O8" s="61" t="s">
        <v>78</v>
      </c>
      <c r="P8" s="62" t="s">
        <v>102</v>
      </c>
      <c r="Q8" s="61" t="s">
        <v>78</v>
      </c>
      <c r="R8" s="62" t="s">
        <v>102</v>
      </c>
      <c r="S8" s="61" t="s">
        <v>78</v>
      </c>
      <c r="T8" s="62" t="s">
        <v>102</v>
      </c>
      <c r="U8" s="61" t="s">
        <v>78</v>
      </c>
      <c r="V8" s="62" t="s">
        <v>102</v>
      </c>
      <c r="W8" s="61" t="s">
        <v>78</v>
      </c>
      <c r="X8" s="62" t="s">
        <v>102</v>
      </c>
      <c r="Y8" s="61" t="s">
        <v>78</v>
      </c>
      <c r="Z8" s="62" t="s">
        <v>102</v>
      </c>
      <c r="AA8" s="61" t="s">
        <v>78</v>
      </c>
      <c r="AB8" s="62" t="s">
        <v>102</v>
      </c>
      <c r="AC8" s="61" t="s">
        <v>78</v>
      </c>
      <c r="AD8" s="62" t="s">
        <v>102</v>
      </c>
      <c r="AE8" s="61" t="s">
        <v>78</v>
      </c>
      <c r="AF8" s="62" t="s">
        <v>102</v>
      </c>
      <c r="AG8" s="61" t="s">
        <v>78</v>
      </c>
      <c r="AH8" s="62" t="s">
        <v>102</v>
      </c>
      <c r="AI8" s="61" t="s">
        <v>78</v>
      </c>
      <c r="AJ8" s="62" t="s">
        <v>102</v>
      </c>
      <c r="AK8" s="61" t="s">
        <v>78</v>
      </c>
      <c r="AL8" s="62" t="s">
        <v>102</v>
      </c>
      <c r="AM8" s="61" t="s">
        <v>78</v>
      </c>
      <c r="AN8" s="62" t="s">
        <v>102</v>
      </c>
      <c r="AO8" s="61" t="s">
        <v>78</v>
      </c>
    </row>
    <row r="9" spans="1:41" s="55" customFormat="1" ht="13.5" thickBot="1">
      <c r="A9" s="60"/>
      <c r="B9" s="57" t="s">
        <v>1</v>
      </c>
      <c r="C9" s="56" t="s">
        <v>106</v>
      </c>
      <c r="D9" s="57" t="s">
        <v>1</v>
      </c>
      <c r="E9" s="56" t="s">
        <v>106</v>
      </c>
      <c r="F9" s="57" t="s">
        <v>1</v>
      </c>
      <c r="G9" s="56" t="s">
        <v>106</v>
      </c>
      <c r="H9" s="57" t="s">
        <v>1</v>
      </c>
      <c r="I9" s="56" t="s">
        <v>106</v>
      </c>
      <c r="J9" s="57" t="s">
        <v>1</v>
      </c>
      <c r="K9" s="56" t="s">
        <v>106</v>
      </c>
      <c r="L9" s="57" t="s">
        <v>1</v>
      </c>
      <c r="M9" s="56" t="s">
        <v>106</v>
      </c>
      <c r="N9" s="57" t="s">
        <v>1</v>
      </c>
      <c r="O9" s="56" t="s">
        <v>106</v>
      </c>
      <c r="P9" s="57" t="s">
        <v>1</v>
      </c>
      <c r="Q9" s="56" t="s">
        <v>106</v>
      </c>
      <c r="R9" s="57" t="s">
        <v>1</v>
      </c>
      <c r="S9" s="56" t="s">
        <v>106</v>
      </c>
      <c r="T9" s="57" t="s">
        <v>1</v>
      </c>
      <c r="U9" s="56" t="s">
        <v>106</v>
      </c>
      <c r="V9" s="57" t="s">
        <v>1</v>
      </c>
      <c r="W9" s="56" t="s">
        <v>106</v>
      </c>
      <c r="X9" s="57" t="s">
        <v>1</v>
      </c>
      <c r="Y9" s="56" t="s">
        <v>106</v>
      </c>
      <c r="Z9" s="57" t="s">
        <v>1</v>
      </c>
      <c r="AA9" s="56" t="s">
        <v>106</v>
      </c>
      <c r="AB9" s="57" t="s">
        <v>1</v>
      </c>
      <c r="AC9" s="56" t="s">
        <v>106</v>
      </c>
      <c r="AD9" s="57" t="s">
        <v>1</v>
      </c>
      <c r="AE9" s="56" t="s">
        <v>106</v>
      </c>
      <c r="AF9" s="57" t="s">
        <v>1</v>
      </c>
      <c r="AG9" s="56" t="s">
        <v>106</v>
      </c>
      <c r="AH9" s="57" t="s">
        <v>1</v>
      </c>
      <c r="AI9" s="56" t="s">
        <v>106</v>
      </c>
      <c r="AJ9" s="57" t="s">
        <v>1</v>
      </c>
      <c r="AK9" s="56" t="s">
        <v>106</v>
      </c>
      <c r="AL9" s="57" t="s">
        <v>1</v>
      </c>
      <c r="AM9" s="56" t="s">
        <v>106</v>
      </c>
      <c r="AN9" s="57" t="s">
        <v>1</v>
      </c>
      <c r="AO9" s="56" t="s">
        <v>106</v>
      </c>
    </row>
    <row r="10" ht="13.5" thickBot="1"/>
    <row r="11" spans="1:41" s="42" customFormat="1" ht="12.75" thickBot="1">
      <c r="A11" s="45" t="s">
        <v>96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52"/>
    </row>
    <row r="12" spans="1:41" ht="12.75">
      <c r="A12" s="75" t="s">
        <v>122</v>
      </c>
      <c r="B12" s="96">
        <v>7304195.05</v>
      </c>
      <c r="C12" s="97">
        <v>1396068.43</v>
      </c>
      <c r="D12" s="96">
        <v>8231305.710000001</v>
      </c>
      <c r="E12" s="97">
        <v>1405178.58</v>
      </c>
      <c r="F12" s="96">
        <v>8841434.979999999</v>
      </c>
      <c r="G12" s="97">
        <v>1332209.17</v>
      </c>
      <c r="H12" s="96">
        <v>9407153.36</v>
      </c>
      <c r="I12" s="97">
        <v>1229802.55</v>
      </c>
      <c r="J12" s="96">
        <v>9824388</v>
      </c>
      <c r="K12" s="97">
        <v>1090975.24</v>
      </c>
      <c r="L12" s="96">
        <v>10260127.74</v>
      </c>
      <c r="M12" s="97">
        <v>930868.91</v>
      </c>
      <c r="N12" s="96">
        <v>10715193.98</v>
      </c>
      <c r="O12" s="97">
        <v>757831.16</v>
      </c>
      <c r="P12" s="96">
        <v>11190443.34</v>
      </c>
      <c r="Q12" s="97">
        <v>567613.45</v>
      </c>
      <c r="R12" s="96">
        <v>11686771.030000001</v>
      </c>
      <c r="S12" s="97">
        <v>360239.68</v>
      </c>
      <c r="T12" s="96">
        <v>12205113.089999996</v>
      </c>
      <c r="U12" s="97">
        <v>130830.65</v>
      </c>
      <c r="V12" s="96"/>
      <c r="W12" s="97"/>
      <c r="X12" s="96"/>
      <c r="Y12" s="97"/>
      <c r="Z12" s="96"/>
      <c r="AA12" s="97"/>
      <c r="AB12" s="96"/>
      <c r="AC12" s="97"/>
      <c r="AD12" s="96"/>
      <c r="AE12" s="97"/>
      <c r="AF12" s="96"/>
      <c r="AG12" s="97"/>
      <c r="AH12" s="96"/>
      <c r="AI12" s="97"/>
      <c r="AJ12" s="96"/>
      <c r="AK12" s="97"/>
      <c r="AL12" s="96"/>
      <c r="AM12" s="97"/>
      <c r="AN12" s="96">
        <v>99666126.28</v>
      </c>
      <c r="AO12" s="97">
        <v>9201617.82</v>
      </c>
    </row>
    <row r="13" spans="1:41" ht="12.75">
      <c r="A13" s="34" t="s">
        <v>1</v>
      </c>
      <c r="B13" s="98">
        <v>788102.64</v>
      </c>
      <c r="C13" s="99">
        <v>150631.97</v>
      </c>
      <c r="D13" s="98">
        <v>888135.32</v>
      </c>
      <c r="E13" s="99">
        <v>151615</v>
      </c>
      <c r="F13" s="98">
        <v>953966.64</v>
      </c>
      <c r="G13" s="99">
        <v>143741.77</v>
      </c>
      <c r="H13" s="98">
        <v>1015006.09</v>
      </c>
      <c r="I13" s="99">
        <v>132692.35</v>
      </c>
      <c r="J13" s="98">
        <v>1060024.54</v>
      </c>
      <c r="K13" s="99">
        <v>117713.3</v>
      </c>
      <c r="L13" s="98">
        <v>1107039.66</v>
      </c>
      <c r="M13" s="99">
        <v>100438.12</v>
      </c>
      <c r="N13" s="98">
        <v>1156140.05</v>
      </c>
      <c r="O13" s="99">
        <v>81767.9</v>
      </c>
      <c r="P13" s="98">
        <v>1207418.2</v>
      </c>
      <c r="Q13" s="99">
        <v>61244.02</v>
      </c>
      <c r="R13" s="98">
        <v>1260970.65</v>
      </c>
      <c r="S13" s="99">
        <v>38868.77</v>
      </c>
      <c r="T13" s="98">
        <v>1316898.31</v>
      </c>
      <c r="U13" s="99">
        <v>14116.23</v>
      </c>
      <c r="V13" s="100"/>
      <c r="W13" s="101"/>
      <c r="X13" s="100"/>
      <c r="Y13" s="101"/>
      <c r="Z13" s="100"/>
      <c r="AA13" s="101"/>
      <c r="AB13" s="100"/>
      <c r="AC13" s="101"/>
      <c r="AD13" s="100"/>
      <c r="AE13" s="101"/>
      <c r="AF13" s="100"/>
      <c r="AG13" s="101"/>
      <c r="AH13" s="100"/>
      <c r="AI13" s="101"/>
      <c r="AJ13" s="100"/>
      <c r="AK13" s="101"/>
      <c r="AL13" s="100"/>
      <c r="AM13" s="101"/>
      <c r="AN13" s="176">
        <v>10753702.1</v>
      </c>
      <c r="AO13" s="177">
        <v>992829.43</v>
      </c>
    </row>
    <row r="14" spans="1:41" ht="12.75">
      <c r="A14" s="34" t="s">
        <v>21</v>
      </c>
      <c r="B14" s="98">
        <v>476981.34</v>
      </c>
      <c r="C14" s="99">
        <v>91166.65</v>
      </c>
      <c r="D14" s="98">
        <v>537523.86</v>
      </c>
      <c r="E14" s="99">
        <v>91761.49</v>
      </c>
      <c r="F14" s="98">
        <v>577366.79</v>
      </c>
      <c r="G14" s="99">
        <v>86996.4</v>
      </c>
      <c r="H14" s="98">
        <v>614309.54</v>
      </c>
      <c r="I14" s="99">
        <v>80309.03</v>
      </c>
      <c r="J14" s="98">
        <v>641555.94</v>
      </c>
      <c r="K14" s="99">
        <v>71243.4</v>
      </c>
      <c r="L14" s="98">
        <v>670010.78</v>
      </c>
      <c r="M14" s="99">
        <v>60787.99</v>
      </c>
      <c r="N14" s="98">
        <v>699727.68</v>
      </c>
      <c r="O14" s="99">
        <v>49488.07</v>
      </c>
      <c r="P14" s="98">
        <v>730762.48</v>
      </c>
      <c r="Q14" s="99">
        <v>37066.58</v>
      </c>
      <c r="R14" s="98">
        <v>763173.6</v>
      </c>
      <c r="S14" s="99">
        <v>23524.55</v>
      </c>
      <c r="T14" s="98">
        <v>797022.54</v>
      </c>
      <c r="U14" s="99">
        <v>8543.48</v>
      </c>
      <c r="V14" s="100"/>
      <c r="W14" s="101"/>
      <c r="X14" s="100"/>
      <c r="Y14" s="101"/>
      <c r="Z14" s="100"/>
      <c r="AA14" s="101"/>
      <c r="AB14" s="100"/>
      <c r="AC14" s="101"/>
      <c r="AD14" s="100"/>
      <c r="AE14" s="101"/>
      <c r="AF14" s="100"/>
      <c r="AG14" s="101"/>
      <c r="AH14" s="100"/>
      <c r="AI14" s="101"/>
      <c r="AJ14" s="100"/>
      <c r="AK14" s="101"/>
      <c r="AL14" s="100"/>
      <c r="AM14" s="101"/>
      <c r="AN14" s="176">
        <v>6508434.549999999</v>
      </c>
      <c r="AO14" s="177">
        <v>600887.64</v>
      </c>
    </row>
    <row r="15" spans="1:41" ht="12.75">
      <c r="A15" s="34" t="s">
        <v>22</v>
      </c>
      <c r="B15" s="98">
        <v>750402.13</v>
      </c>
      <c r="C15" s="99">
        <v>143426.14</v>
      </c>
      <c r="D15" s="98">
        <v>845649.58</v>
      </c>
      <c r="E15" s="99">
        <v>144362.1</v>
      </c>
      <c r="F15" s="98">
        <v>908331.72</v>
      </c>
      <c r="G15" s="99">
        <v>136865.63</v>
      </c>
      <c r="H15" s="98">
        <v>966451.23</v>
      </c>
      <c r="I15" s="99">
        <v>126344.72</v>
      </c>
      <c r="J15" s="98">
        <v>1009316.12</v>
      </c>
      <c r="K15" s="99">
        <v>112082.19</v>
      </c>
      <c r="L15" s="98">
        <v>1054082.19</v>
      </c>
      <c r="M15" s="99">
        <v>95633.53</v>
      </c>
      <c r="N15" s="98">
        <v>1100833.78</v>
      </c>
      <c r="O15" s="99">
        <v>77856.44</v>
      </c>
      <c r="P15" s="98">
        <v>1149658.9</v>
      </c>
      <c r="Q15" s="99">
        <v>58314.24</v>
      </c>
      <c r="R15" s="98">
        <v>1200649.58</v>
      </c>
      <c r="S15" s="99">
        <v>37009.42</v>
      </c>
      <c r="T15" s="98">
        <v>1253901.86</v>
      </c>
      <c r="U15" s="99">
        <v>13440.92</v>
      </c>
      <c r="V15" s="100"/>
      <c r="W15" s="101"/>
      <c r="X15" s="100"/>
      <c r="Y15" s="101"/>
      <c r="Z15" s="100"/>
      <c r="AA15" s="101"/>
      <c r="AB15" s="100"/>
      <c r="AC15" s="101"/>
      <c r="AD15" s="100"/>
      <c r="AE15" s="101"/>
      <c r="AF15" s="100"/>
      <c r="AG15" s="101"/>
      <c r="AH15" s="100"/>
      <c r="AI15" s="101"/>
      <c r="AJ15" s="100"/>
      <c r="AK15" s="101"/>
      <c r="AL15" s="100"/>
      <c r="AM15" s="101"/>
      <c r="AN15" s="176">
        <v>10239277.089999998</v>
      </c>
      <c r="AO15" s="177">
        <v>945335.33</v>
      </c>
    </row>
    <row r="16" spans="1:41" ht="12.75">
      <c r="A16" s="34" t="s">
        <v>16</v>
      </c>
      <c r="B16" s="98">
        <v>1608038.61</v>
      </c>
      <c r="C16" s="99">
        <v>307348.35</v>
      </c>
      <c r="D16" s="98">
        <v>1812144.58</v>
      </c>
      <c r="E16" s="99">
        <v>309354.06</v>
      </c>
      <c r="F16" s="98">
        <v>1946466.28</v>
      </c>
      <c r="G16" s="99">
        <v>293289.51</v>
      </c>
      <c r="H16" s="98">
        <v>2071010.74</v>
      </c>
      <c r="I16" s="99">
        <v>270744.21</v>
      </c>
      <c r="J16" s="98">
        <v>2162866.03</v>
      </c>
      <c r="K16" s="99">
        <v>240181.41</v>
      </c>
      <c r="L16" s="98">
        <v>2258795.32</v>
      </c>
      <c r="M16" s="99">
        <v>204933.45</v>
      </c>
      <c r="N16" s="98">
        <v>2358979.4</v>
      </c>
      <c r="O16" s="99">
        <v>166838.63</v>
      </c>
      <c r="P16" s="98">
        <v>2463606.88</v>
      </c>
      <c r="Q16" s="99">
        <v>124961.39</v>
      </c>
      <c r="R16" s="98">
        <v>2572874.95</v>
      </c>
      <c r="S16" s="99">
        <v>79307.89</v>
      </c>
      <c r="T16" s="98">
        <v>2686989.34</v>
      </c>
      <c r="U16" s="99">
        <v>28802.8</v>
      </c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100"/>
      <c r="AK16" s="101"/>
      <c r="AL16" s="100"/>
      <c r="AM16" s="101"/>
      <c r="AN16" s="176">
        <v>21941772.130000003</v>
      </c>
      <c r="AO16" s="177">
        <v>2025761.7</v>
      </c>
    </row>
    <row r="17" spans="1:41" ht="12.75">
      <c r="A17" s="34" t="s">
        <v>15</v>
      </c>
      <c r="B17" s="98">
        <v>157133.4</v>
      </c>
      <c r="C17" s="99">
        <v>30033.29</v>
      </c>
      <c r="D17" s="98">
        <v>177078.12</v>
      </c>
      <c r="E17" s="99">
        <v>30229.21</v>
      </c>
      <c r="F17" s="98">
        <v>190203.67</v>
      </c>
      <c r="G17" s="99">
        <v>28659.59</v>
      </c>
      <c r="H17" s="98">
        <v>202373.85</v>
      </c>
      <c r="I17" s="99">
        <v>26456.5</v>
      </c>
      <c r="J17" s="98">
        <v>211350.09</v>
      </c>
      <c r="K17" s="99">
        <v>23469.88</v>
      </c>
      <c r="L17" s="98">
        <v>220724.04</v>
      </c>
      <c r="M17" s="99">
        <v>20025.68</v>
      </c>
      <c r="N17" s="98">
        <v>230513.8</v>
      </c>
      <c r="O17" s="99">
        <v>16303.12</v>
      </c>
      <c r="P17" s="98">
        <v>240737.75</v>
      </c>
      <c r="Q17" s="99">
        <v>12210.88</v>
      </c>
      <c r="R17" s="98">
        <v>251415.15</v>
      </c>
      <c r="S17" s="99">
        <v>7749.9</v>
      </c>
      <c r="T17" s="98">
        <v>262566.14</v>
      </c>
      <c r="U17" s="99">
        <v>2814.62</v>
      </c>
      <c r="V17" s="100"/>
      <c r="W17" s="101"/>
      <c r="X17" s="100"/>
      <c r="Y17" s="101"/>
      <c r="Z17" s="100"/>
      <c r="AA17" s="101"/>
      <c r="AB17" s="100"/>
      <c r="AC17" s="101"/>
      <c r="AD17" s="100"/>
      <c r="AE17" s="101"/>
      <c r="AF17" s="100"/>
      <c r="AG17" s="101"/>
      <c r="AH17" s="100"/>
      <c r="AI17" s="101"/>
      <c r="AJ17" s="100"/>
      <c r="AK17" s="101"/>
      <c r="AL17" s="100"/>
      <c r="AM17" s="101"/>
      <c r="AN17" s="176">
        <v>2144096.01</v>
      </c>
      <c r="AO17" s="177">
        <v>197952.67</v>
      </c>
    </row>
    <row r="18" spans="1:41" ht="12.75">
      <c r="A18" s="34" t="s">
        <v>14</v>
      </c>
      <c r="B18" s="98">
        <v>101997.93</v>
      </c>
      <c r="C18" s="99">
        <v>19495.05</v>
      </c>
      <c r="D18" s="98">
        <v>114944.38</v>
      </c>
      <c r="E18" s="99">
        <v>19622.29</v>
      </c>
      <c r="F18" s="98">
        <v>123464.42</v>
      </c>
      <c r="G18" s="99">
        <v>18603.17</v>
      </c>
      <c r="H18" s="98">
        <v>131364.27</v>
      </c>
      <c r="I18" s="99">
        <v>17173.33</v>
      </c>
      <c r="J18" s="98">
        <v>137190.66</v>
      </c>
      <c r="K18" s="99">
        <v>15234.67</v>
      </c>
      <c r="L18" s="98">
        <v>143275.45</v>
      </c>
      <c r="M18" s="99">
        <v>12998.91</v>
      </c>
      <c r="N18" s="98">
        <v>149630.14</v>
      </c>
      <c r="O18" s="99">
        <v>10582.6</v>
      </c>
      <c r="P18" s="98">
        <v>156266.66</v>
      </c>
      <c r="Q18" s="99">
        <v>7926.3</v>
      </c>
      <c r="R18" s="98">
        <v>163197.54</v>
      </c>
      <c r="S18" s="99">
        <v>5030.65</v>
      </c>
      <c r="T18" s="98">
        <v>170435.81</v>
      </c>
      <c r="U18" s="99">
        <v>1827</v>
      </c>
      <c r="V18" s="100"/>
      <c r="W18" s="101"/>
      <c r="X18" s="100"/>
      <c r="Y18" s="101"/>
      <c r="Z18" s="100"/>
      <c r="AA18" s="101"/>
      <c r="AB18" s="100"/>
      <c r="AC18" s="101"/>
      <c r="AD18" s="100"/>
      <c r="AE18" s="101"/>
      <c r="AF18" s="100"/>
      <c r="AG18" s="101"/>
      <c r="AH18" s="100"/>
      <c r="AI18" s="101"/>
      <c r="AJ18" s="100"/>
      <c r="AK18" s="101"/>
      <c r="AL18" s="100"/>
      <c r="AM18" s="101"/>
      <c r="AN18" s="176">
        <v>1391767.26</v>
      </c>
      <c r="AO18" s="177">
        <v>128493.97</v>
      </c>
    </row>
    <row r="19" spans="1:41" ht="12.75">
      <c r="A19" s="34" t="s">
        <v>13</v>
      </c>
      <c r="B19" s="98">
        <v>378368.33</v>
      </c>
      <c r="C19" s="99">
        <v>72318.47</v>
      </c>
      <c r="D19" s="98">
        <v>426394.07</v>
      </c>
      <c r="E19" s="99">
        <v>72790.32</v>
      </c>
      <c r="F19" s="98">
        <v>457999.68</v>
      </c>
      <c r="G19" s="99">
        <v>69010.5</v>
      </c>
      <c r="H19" s="98">
        <v>487304.77</v>
      </c>
      <c r="I19" s="99">
        <v>63705.67</v>
      </c>
      <c r="J19" s="98">
        <v>508918.12</v>
      </c>
      <c r="K19" s="99">
        <v>56514.07</v>
      </c>
      <c r="L19" s="98">
        <v>531490.09</v>
      </c>
      <c r="M19" s="99">
        <v>48220.41</v>
      </c>
      <c r="N19" s="98">
        <v>555063.22</v>
      </c>
      <c r="O19" s="99">
        <v>39256.78</v>
      </c>
      <c r="P19" s="98">
        <v>579681.86</v>
      </c>
      <c r="Q19" s="99">
        <v>29403.27</v>
      </c>
      <c r="R19" s="98">
        <v>605392.42</v>
      </c>
      <c r="S19" s="99">
        <v>18660.99</v>
      </c>
      <c r="T19" s="98">
        <v>632243.29</v>
      </c>
      <c r="U19" s="99">
        <v>6777.14</v>
      </c>
      <c r="V19" s="100"/>
      <c r="W19" s="101"/>
      <c r="X19" s="100"/>
      <c r="Y19" s="101"/>
      <c r="Z19" s="100"/>
      <c r="AA19" s="101"/>
      <c r="AB19" s="100"/>
      <c r="AC19" s="101"/>
      <c r="AD19" s="100"/>
      <c r="AE19" s="101"/>
      <c r="AF19" s="100"/>
      <c r="AG19" s="101"/>
      <c r="AH19" s="100"/>
      <c r="AI19" s="101"/>
      <c r="AJ19" s="100"/>
      <c r="AK19" s="101"/>
      <c r="AL19" s="100"/>
      <c r="AM19" s="101"/>
      <c r="AN19" s="176">
        <v>5162855.85</v>
      </c>
      <c r="AO19" s="177">
        <v>476657.62</v>
      </c>
    </row>
    <row r="20" spans="1:41" ht="12.75">
      <c r="A20" s="34" t="s">
        <v>84</v>
      </c>
      <c r="B20" s="98">
        <v>352973.7</v>
      </c>
      <c r="C20" s="99">
        <v>67464.75</v>
      </c>
      <c r="D20" s="98">
        <v>397776.14</v>
      </c>
      <c r="E20" s="99">
        <v>67904.85</v>
      </c>
      <c r="F20" s="98">
        <v>427260.51</v>
      </c>
      <c r="G20" s="99">
        <v>64378.76</v>
      </c>
      <c r="H20" s="98">
        <v>454598.74</v>
      </c>
      <c r="I20" s="99">
        <v>59429.94</v>
      </c>
      <c r="J20" s="98">
        <v>474761.5</v>
      </c>
      <c r="K20" s="99">
        <v>52721.07</v>
      </c>
      <c r="L20" s="98">
        <v>495818.53</v>
      </c>
      <c r="M20" s="99">
        <v>44984.06</v>
      </c>
      <c r="N20" s="98">
        <v>517809.52</v>
      </c>
      <c r="O20" s="99">
        <v>36621.9</v>
      </c>
      <c r="P20" s="98">
        <v>540775.85</v>
      </c>
      <c r="Q20" s="99">
        <v>27429.83</v>
      </c>
      <c r="R20" s="98">
        <v>564760.83</v>
      </c>
      <c r="S20" s="99">
        <v>17408.38</v>
      </c>
      <c r="T20" s="98">
        <v>589809.8</v>
      </c>
      <c r="U20" s="99">
        <v>6322.35</v>
      </c>
      <c r="V20" s="100"/>
      <c r="W20" s="101"/>
      <c r="X20" s="100"/>
      <c r="Y20" s="101"/>
      <c r="Z20" s="100"/>
      <c r="AA20" s="101"/>
      <c r="AB20" s="100"/>
      <c r="AC20" s="101"/>
      <c r="AD20" s="100"/>
      <c r="AE20" s="101"/>
      <c r="AF20" s="100"/>
      <c r="AG20" s="101"/>
      <c r="AH20" s="100"/>
      <c r="AI20" s="101"/>
      <c r="AJ20" s="100"/>
      <c r="AK20" s="101"/>
      <c r="AL20" s="100"/>
      <c r="AM20" s="101"/>
      <c r="AN20" s="176">
        <v>4816345.12</v>
      </c>
      <c r="AO20" s="177">
        <v>444665.89</v>
      </c>
    </row>
    <row r="21" spans="1:41" ht="12.75">
      <c r="A21" s="34" t="s">
        <v>105</v>
      </c>
      <c r="B21" s="98">
        <v>564501.25</v>
      </c>
      <c r="C21" s="99">
        <v>107894.51</v>
      </c>
      <c r="D21" s="98">
        <v>636152.57</v>
      </c>
      <c r="E21" s="99">
        <v>108598.55</v>
      </c>
      <c r="F21" s="98">
        <v>683306.16</v>
      </c>
      <c r="G21" s="99">
        <v>102959.1</v>
      </c>
      <c r="H21" s="98">
        <v>727027.42</v>
      </c>
      <c r="I21" s="99">
        <v>95044.78</v>
      </c>
      <c r="J21" s="98">
        <v>759273.16</v>
      </c>
      <c r="K21" s="99">
        <v>84315.51</v>
      </c>
      <c r="L21" s="98">
        <v>792949.13</v>
      </c>
      <c r="M21" s="99">
        <v>71941.74</v>
      </c>
      <c r="N21" s="98">
        <v>828118.7</v>
      </c>
      <c r="O21" s="99">
        <v>58568.61</v>
      </c>
      <c r="P21" s="98">
        <v>864848.06</v>
      </c>
      <c r="Q21" s="99">
        <v>43867.76</v>
      </c>
      <c r="R21" s="98">
        <v>903206.19</v>
      </c>
      <c r="S21" s="99">
        <v>27840.92</v>
      </c>
      <c r="T21" s="98">
        <v>943266</v>
      </c>
      <c r="U21" s="99">
        <v>10111.11</v>
      </c>
      <c r="V21" s="100"/>
      <c r="W21" s="101"/>
      <c r="X21" s="100"/>
      <c r="Y21" s="101"/>
      <c r="Z21" s="100"/>
      <c r="AA21" s="101"/>
      <c r="AB21" s="100"/>
      <c r="AC21" s="101"/>
      <c r="AD21" s="100"/>
      <c r="AE21" s="101"/>
      <c r="AF21" s="100"/>
      <c r="AG21" s="101"/>
      <c r="AH21" s="100"/>
      <c r="AI21" s="101"/>
      <c r="AJ21" s="100"/>
      <c r="AK21" s="101"/>
      <c r="AL21" s="100"/>
      <c r="AM21" s="101"/>
      <c r="AN21" s="176">
        <v>7702648.639999999</v>
      </c>
      <c r="AO21" s="177">
        <v>711142.59</v>
      </c>
    </row>
    <row r="22" spans="1:41" ht="12.75">
      <c r="A22" s="34" t="s">
        <v>4</v>
      </c>
      <c r="B22" s="98">
        <v>423263.35</v>
      </c>
      <c r="C22" s="99">
        <v>80899.3</v>
      </c>
      <c r="D22" s="98">
        <v>476987.53</v>
      </c>
      <c r="E22" s="99">
        <v>81427.26</v>
      </c>
      <c r="F22" s="98">
        <v>512343.31</v>
      </c>
      <c r="G22" s="99">
        <v>77198.77</v>
      </c>
      <c r="H22" s="98">
        <v>545125.55</v>
      </c>
      <c r="I22" s="99">
        <v>71264.55</v>
      </c>
      <c r="J22" s="98">
        <v>569303.41</v>
      </c>
      <c r="K22" s="99">
        <v>63219.76</v>
      </c>
      <c r="L22" s="98">
        <v>594553.66</v>
      </c>
      <c r="M22" s="99">
        <v>53941.95</v>
      </c>
      <c r="N22" s="98">
        <v>620923.85</v>
      </c>
      <c r="O22" s="99">
        <v>43914.77</v>
      </c>
      <c r="P22" s="98">
        <v>648463.58</v>
      </c>
      <c r="Q22" s="99">
        <v>32892.07</v>
      </c>
      <c r="R22" s="98">
        <v>677224.82</v>
      </c>
      <c r="S22" s="99">
        <v>20875.13</v>
      </c>
      <c r="T22" s="98">
        <v>707261.67</v>
      </c>
      <c r="U22" s="99">
        <v>7581.39</v>
      </c>
      <c r="V22" s="100"/>
      <c r="W22" s="101"/>
      <c r="X22" s="100"/>
      <c r="Y22" s="101"/>
      <c r="Z22" s="100"/>
      <c r="AA22" s="101"/>
      <c r="AB22" s="100"/>
      <c r="AC22" s="101"/>
      <c r="AD22" s="100"/>
      <c r="AE22" s="101"/>
      <c r="AF22" s="100"/>
      <c r="AG22" s="101"/>
      <c r="AH22" s="100"/>
      <c r="AI22" s="101"/>
      <c r="AJ22" s="100"/>
      <c r="AK22" s="101"/>
      <c r="AL22" s="100"/>
      <c r="AM22" s="101"/>
      <c r="AN22" s="176">
        <v>5775450.729999999</v>
      </c>
      <c r="AO22" s="177">
        <v>533214.95</v>
      </c>
    </row>
    <row r="23" spans="1:41" ht="12.75">
      <c r="A23" s="34" t="s">
        <v>10</v>
      </c>
      <c r="B23" s="98">
        <v>128937.53</v>
      </c>
      <c r="C23" s="99">
        <v>24644.1</v>
      </c>
      <c r="D23" s="98">
        <v>145303.32</v>
      </c>
      <c r="E23" s="99">
        <v>24805.01</v>
      </c>
      <c r="F23" s="98">
        <v>156073.38</v>
      </c>
      <c r="G23" s="99">
        <v>23516.8</v>
      </c>
      <c r="H23" s="98">
        <v>166059.71</v>
      </c>
      <c r="I23" s="99">
        <v>21709.03</v>
      </c>
      <c r="J23" s="98">
        <v>173424.95</v>
      </c>
      <c r="K23" s="99">
        <v>19258.36</v>
      </c>
      <c r="L23" s="98">
        <v>181116.83</v>
      </c>
      <c r="M23" s="99">
        <v>16432.12</v>
      </c>
      <c r="N23" s="98">
        <v>189149.88</v>
      </c>
      <c r="O23" s="99">
        <v>13377.59</v>
      </c>
      <c r="P23" s="98">
        <v>197539.24</v>
      </c>
      <c r="Q23" s="99">
        <v>10019.84</v>
      </c>
      <c r="R23" s="98">
        <v>206300.65</v>
      </c>
      <c r="S23" s="99">
        <v>6359.12</v>
      </c>
      <c r="T23" s="98">
        <v>215450.69</v>
      </c>
      <c r="U23" s="99">
        <v>2309.57</v>
      </c>
      <c r="V23" s="100"/>
      <c r="W23" s="101"/>
      <c r="X23" s="100"/>
      <c r="Y23" s="101"/>
      <c r="Z23" s="100"/>
      <c r="AA23" s="101"/>
      <c r="AB23" s="100"/>
      <c r="AC23" s="101"/>
      <c r="AD23" s="100"/>
      <c r="AE23" s="101"/>
      <c r="AF23" s="100"/>
      <c r="AG23" s="101"/>
      <c r="AH23" s="100"/>
      <c r="AI23" s="101"/>
      <c r="AJ23" s="100"/>
      <c r="AK23" s="101"/>
      <c r="AL23" s="100"/>
      <c r="AM23" s="101"/>
      <c r="AN23" s="176">
        <v>1759356.18</v>
      </c>
      <c r="AO23" s="177">
        <v>162431.54</v>
      </c>
    </row>
    <row r="24" spans="1:41" ht="12.75">
      <c r="A24" s="34" t="s">
        <v>95</v>
      </c>
      <c r="B24" s="98">
        <v>1573494.84</v>
      </c>
      <c r="C24" s="99">
        <v>300745.85</v>
      </c>
      <c r="D24" s="98">
        <v>1773216.24</v>
      </c>
      <c r="E24" s="99">
        <v>302708.44</v>
      </c>
      <c r="F24" s="98">
        <v>1904652.42</v>
      </c>
      <c r="G24" s="99">
        <v>286989.17</v>
      </c>
      <c r="H24" s="98">
        <v>2026521.45</v>
      </c>
      <c r="I24" s="99">
        <v>264928.44</v>
      </c>
      <c r="J24" s="98">
        <v>2116403.48</v>
      </c>
      <c r="K24" s="99">
        <v>235021.62</v>
      </c>
      <c r="L24" s="98">
        <v>2210272.06</v>
      </c>
      <c r="M24" s="99">
        <v>200530.95</v>
      </c>
      <c r="N24" s="98">
        <v>2308303.96</v>
      </c>
      <c r="O24" s="99">
        <v>163254.75</v>
      </c>
      <c r="P24" s="98">
        <v>2410683.88</v>
      </c>
      <c r="Q24" s="99">
        <v>122277.27</v>
      </c>
      <c r="R24" s="98">
        <v>2517604.65</v>
      </c>
      <c r="S24" s="99">
        <v>77603.96</v>
      </c>
      <c r="T24" s="98">
        <v>2629267.64</v>
      </c>
      <c r="U24" s="99">
        <v>28184.04</v>
      </c>
      <c r="V24" s="100"/>
      <c r="W24" s="101"/>
      <c r="X24" s="100"/>
      <c r="Y24" s="101"/>
      <c r="Z24" s="100"/>
      <c r="AA24" s="101"/>
      <c r="AB24" s="100"/>
      <c r="AC24" s="101"/>
      <c r="AD24" s="100"/>
      <c r="AE24" s="101"/>
      <c r="AF24" s="100"/>
      <c r="AG24" s="101"/>
      <c r="AH24" s="100"/>
      <c r="AI24" s="101"/>
      <c r="AJ24" s="100"/>
      <c r="AK24" s="101"/>
      <c r="AL24" s="100"/>
      <c r="AM24" s="101"/>
      <c r="AN24" s="176">
        <v>21470420.619999997</v>
      </c>
      <c r="AO24" s="177">
        <v>1982244.49</v>
      </c>
    </row>
    <row r="25" spans="1:41" ht="12.75" hidden="1">
      <c r="A25" s="76" t="s">
        <v>123</v>
      </c>
      <c r="B25" s="96">
        <v>0</v>
      </c>
      <c r="C25" s="97">
        <v>0</v>
      </c>
      <c r="D25" s="96">
        <v>0</v>
      </c>
      <c r="E25" s="97">
        <v>0</v>
      </c>
      <c r="F25" s="96">
        <v>0</v>
      </c>
      <c r="G25" s="97">
        <v>0</v>
      </c>
      <c r="H25" s="96">
        <v>0</v>
      </c>
      <c r="I25" s="97">
        <v>0</v>
      </c>
      <c r="J25" s="96">
        <v>0</v>
      </c>
      <c r="K25" s="97">
        <v>0</v>
      </c>
      <c r="L25" s="96">
        <v>0</v>
      </c>
      <c r="M25" s="97">
        <v>0</v>
      </c>
      <c r="N25" s="96">
        <v>0</v>
      </c>
      <c r="O25" s="97">
        <v>0</v>
      </c>
      <c r="P25" s="96">
        <v>0</v>
      </c>
      <c r="Q25" s="97">
        <v>0</v>
      </c>
      <c r="R25" s="96">
        <v>0</v>
      </c>
      <c r="S25" s="97">
        <v>0</v>
      </c>
      <c r="T25" s="96">
        <v>0</v>
      </c>
      <c r="U25" s="97">
        <v>0</v>
      </c>
      <c r="V25" s="96"/>
      <c r="W25" s="97"/>
      <c r="X25" s="96"/>
      <c r="Y25" s="97"/>
      <c r="Z25" s="96"/>
      <c r="AA25" s="97"/>
      <c r="AB25" s="96"/>
      <c r="AC25" s="97"/>
      <c r="AD25" s="96"/>
      <c r="AE25" s="97"/>
      <c r="AF25" s="96"/>
      <c r="AG25" s="97"/>
      <c r="AH25" s="96"/>
      <c r="AI25" s="97"/>
      <c r="AJ25" s="96"/>
      <c r="AK25" s="97"/>
      <c r="AL25" s="96"/>
      <c r="AM25" s="97"/>
      <c r="AN25" s="96">
        <v>0</v>
      </c>
      <c r="AO25" s="97">
        <v>0</v>
      </c>
    </row>
    <row r="26" spans="1:41" ht="12.75" hidden="1">
      <c r="A26" s="34" t="s">
        <v>9</v>
      </c>
      <c r="B26" s="100"/>
      <c r="C26" s="101"/>
      <c r="D26" s="100"/>
      <c r="E26" s="101"/>
      <c r="F26" s="100"/>
      <c r="G26" s="101"/>
      <c r="H26" s="100"/>
      <c r="I26" s="101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1"/>
      <c r="AB26" s="100"/>
      <c r="AC26" s="101"/>
      <c r="AD26" s="100"/>
      <c r="AE26" s="101"/>
      <c r="AF26" s="100"/>
      <c r="AG26" s="101"/>
      <c r="AH26" s="100"/>
      <c r="AI26" s="101"/>
      <c r="AJ26" s="100"/>
      <c r="AK26" s="101"/>
      <c r="AL26" s="100"/>
      <c r="AM26" s="101"/>
      <c r="AN26" s="176">
        <v>0</v>
      </c>
      <c r="AO26" s="177">
        <v>0</v>
      </c>
    </row>
    <row r="27" spans="1:41" ht="12.75" hidden="1">
      <c r="A27" s="34" t="s">
        <v>7</v>
      </c>
      <c r="B27" s="100"/>
      <c r="C27" s="101"/>
      <c r="D27" s="100"/>
      <c r="E27" s="101"/>
      <c r="F27" s="100"/>
      <c r="G27" s="101"/>
      <c r="H27" s="100"/>
      <c r="I27" s="101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  <c r="AB27" s="100"/>
      <c r="AC27" s="101"/>
      <c r="AD27" s="100"/>
      <c r="AE27" s="101"/>
      <c r="AF27" s="100"/>
      <c r="AG27" s="101"/>
      <c r="AH27" s="100"/>
      <c r="AI27" s="101"/>
      <c r="AJ27" s="100"/>
      <c r="AK27" s="101"/>
      <c r="AL27" s="100"/>
      <c r="AM27" s="101"/>
      <c r="AN27" s="176">
        <v>0</v>
      </c>
      <c r="AO27" s="177">
        <v>0</v>
      </c>
    </row>
    <row r="28" spans="1:41" ht="12.75" hidden="1">
      <c r="A28" s="34" t="s">
        <v>23</v>
      </c>
      <c r="B28" s="100"/>
      <c r="C28" s="101"/>
      <c r="D28" s="100"/>
      <c r="E28" s="101"/>
      <c r="F28" s="100"/>
      <c r="G28" s="101"/>
      <c r="H28" s="100"/>
      <c r="I28" s="101"/>
      <c r="J28" s="100"/>
      <c r="K28" s="101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  <c r="AB28" s="100"/>
      <c r="AC28" s="101"/>
      <c r="AD28" s="100"/>
      <c r="AE28" s="101"/>
      <c r="AF28" s="100"/>
      <c r="AG28" s="101"/>
      <c r="AH28" s="100"/>
      <c r="AI28" s="101"/>
      <c r="AJ28" s="100"/>
      <c r="AK28" s="101"/>
      <c r="AL28" s="100"/>
      <c r="AM28" s="101"/>
      <c r="AN28" s="176">
        <v>0</v>
      </c>
      <c r="AO28" s="177">
        <v>0</v>
      </c>
    </row>
    <row r="29" spans="1:41" ht="12.75">
      <c r="A29" s="76" t="s">
        <v>124</v>
      </c>
      <c r="B29" s="96">
        <v>894722.918690193</v>
      </c>
      <c r="C29" s="97">
        <v>34065.72</v>
      </c>
      <c r="D29" s="96">
        <v>0</v>
      </c>
      <c r="E29" s="97">
        <v>0</v>
      </c>
      <c r="F29" s="96">
        <v>0</v>
      </c>
      <c r="G29" s="97">
        <v>0</v>
      </c>
      <c r="H29" s="96">
        <v>0</v>
      </c>
      <c r="I29" s="97">
        <v>0</v>
      </c>
      <c r="J29" s="96">
        <v>0</v>
      </c>
      <c r="K29" s="97">
        <v>0</v>
      </c>
      <c r="L29" s="96">
        <v>0</v>
      </c>
      <c r="M29" s="97">
        <v>0</v>
      </c>
      <c r="N29" s="96">
        <v>0</v>
      </c>
      <c r="O29" s="97">
        <v>0</v>
      </c>
      <c r="P29" s="96">
        <v>0</v>
      </c>
      <c r="Q29" s="97">
        <v>0</v>
      </c>
      <c r="R29" s="96">
        <v>0</v>
      </c>
      <c r="S29" s="97">
        <v>0</v>
      </c>
      <c r="T29" s="96">
        <v>0</v>
      </c>
      <c r="U29" s="97">
        <v>0</v>
      </c>
      <c r="V29" s="96"/>
      <c r="W29" s="97"/>
      <c r="X29" s="96"/>
      <c r="Y29" s="97"/>
      <c r="Z29" s="96"/>
      <c r="AA29" s="97"/>
      <c r="AB29" s="96"/>
      <c r="AC29" s="97"/>
      <c r="AD29" s="96"/>
      <c r="AE29" s="97"/>
      <c r="AF29" s="96"/>
      <c r="AG29" s="97"/>
      <c r="AH29" s="96"/>
      <c r="AI29" s="97"/>
      <c r="AJ29" s="96"/>
      <c r="AK29" s="97"/>
      <c r="AL29" s="96"/>
      <c r="AM29" s="97"/>
      <c r="AN29" s="96">
        <v>894722.918690193</v>
      </c>
      <c r="AO29" s="97">
        <v>34065.72</v>
      </c>
    </row>
    <row r="30" spans="1:41" ht="13.5" thickBot="1">
      <c r="A30" s="34" t="s">
        <v>7</v>
      </c>
      <c r="B30" s="98">
        <v>894722.918690193</v>
      </c>
      <c r="C30" s="99">
        <v>34065.72</v>
      </c>
      <c r="D30" s="100"/>
      <c r="E30" s="101"/>
      <c r="F30" s="100"/>
      <c r="G30" s="101"/>
      <c r="H30" s="100"/>
      <c r="I30" s="101"/>
      <c r="J30" s="100"/>
      <c r="K30" s="101"/>
      <c r="L30" s="100"/>
      <c r="M30" s="101"/>
      <c r="N30" s="100"/>
      <c r="O30" s="101"/>
      <c r="P30" s="100"/>
      <c r="Q30" s="101"/>
      <c r="R30" s="100"/>
      <c r="S30" s="101"/>
      <c r="T30" s="100"/>
      <c r="U30" s="101"/>
      <c r="V30" s="100"/>
      <c r="W30" s="101"/>
      <c r="X30" s="100"/>
      <c r="Y30" s="101"/>
      <c r="Z30" s="100"/>
      <c r="AA30" s="101"/>
      <c r="AB30" s="100"/>
      <c r="AC30" s="101"/>
      <c r="AD30" s="100"/>
      <c r="AE30" s="101"/>
      <c r="AF30" s="100"/>
      <c r="AG30" s="101"/>
      <c r="AH30" s="100"/>
      <c r="AI30" s="101"/>
      <c r="AJ30" s="100"/>
      <c r="AK30" s="101"/>
      <c r="AL30" s="100"/>
      <c r="AM30" s="101"/>
      <c r="AN30" s="178">
        <v>894722.918690193</v>
      </c>
      <c r="AO30" s="179">
        <v>34065.72</v>
      </c>
    </row>
    <row r="31" spans="1:41" ht="13.5" thickBot="1">
      <c r="A31" s="43" t="s">
        <v>120</v>
      </c>
      <c r="B31" s="180">
        <v>8198917.968690192</v>
      </c>
      <c r="C31" s="181">
        <v>1430134.15</v>
      </c>
      <c r="D31" s="180">
        <v>8231305.710000001</v>
      </c>
      <c r="E31" s="181">
        <v>1405178.58</v>
      </c>
      <c r="F31" s="180">
        <v>8841434.979999999</v>
      </c>
      <c r="G31" s="181">
        <v>1332209.17</v>
      </c>
      <c r="H31" s="180">
        <v>9407153.36</v>
      </c>
      <c r="I31" s="181">
        <v>1229802.55</v>
      </c>
      <c r="J31" s="180">
        <v>9824388</v>
      </c>
      <c r="K31" s="181">
        <v>1090975.24</v>
      </c>
      <c r="L31" s="180">
        <v>10260127.74</v>
      </c>
      <c r="M31" s="181">
        <v>930868.91</v>
      </c>
      <c r="N31" s="180">
        <v>10715193.98</v>
      </c>
      <c r="O31" s="181">
        <v>757831.16</v>
      </c>
      <c r="P31" s="180">
        <v>11190443.34</v>
      </c>
      <c r="Q31" s="181">
        <v>567613.45</v>
      </c>
      <c r="R31" s="180">
        <v>11686771.030000001</v>
      </c>
      <c r="S31" s="181">
        <v>360239.68</v>
      </c>
      <c r="T31" s="180">
        <v>12205113.089999996</v>
      </c>
      <c r="U31" s="181">
        <v>130830.65</v>
      </c>
      <c r="V31" s="180"/>
      <c r="W31" s="181"/>
      <c r="X31" s="180"/>
      <c r="Y31" s="181"/>
      <c r="Z31" s="180"/>
      <c r="AA31" s="181"/>
      <c r="AB31" s="180"/>
      <c r="AC31" s="181"/>
      <c r="AD31" s="180"/>
      <c r="AE31" s="181"/>
      <c r="AF31" s="180"/>
      <c r="AG31" s="181"/>
      <c r="AH31" s="180"/>
      <c r="AI31" s="181"/>
      <c r="AJ31" s="180"/>
      <c r="AK31" s="181"/>
      <c r="AL31" s="180"/>
      <c r="AM31" s="181"/>
      <c r="AN31" s="180">
        <v>100560849.1986902</v>
      </c>
      <c r="AO31" s="181">
        <v>9235683.540000001</v>
      </c>
    </row>
    <row r="32" spans="1:41" ht="13.5" thickBot="1">
      <c r="A32" s="42"/>
      <c r="B32" s="670"/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  <c r="AA32" s="670"/>
      <c r="AB32" s="670"/>
      <c r="AC32" s="670"/>
      <c r="AD32" s="670"/>
      <c r="AE32" s="670"/>
      <c r="AF32" s="670"/>
      <c r="AG32" s="670"/>
      <c r="AH32" s="670"/>
      <c r="AI32" s="670"/>
      <c r="AJ32" s="670"/>
      <c r="AK32" s="670"/>
      <c r="AL32" s="670"/>
      <c r="AM32" s="670"/>
      <c r="AN32" s="671"/>
      <c r="AO32" s="671"/>
    </row>
    <row r="33" spans="1:41" ht="13.5" thickBot="1">
      <c r="A33" s="40" t="s">
        <v>94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8"/>
    </row>
    <row r="34" spans="1:41" ht="12.75">
      <c r="A34" s="37" t="s">
        <v>28</v>
      </c>
      <c r="B34" s="106">
        <v>2887250.08</v>
      </c>
      <c r="C34" s="107">
        <v>394361.92</v>
      </c>
      <c r="D34" s="106">
        <v>796368.08</v>
      </c>
      <c r="E34" s="107">
        <v>23838.77</v>
      </c>
      <c r="F34" s="106">
        <v>0</v>
      </c>
      <c r="G34" s="107">
        <v>0</v>
      </c>
      <c r="H34" s="106">
        <v>0</v>
      </c>
      <c r="I34" s="107">
        <v>0</v>
      </c>
      <c r="J34" s="106">
        <v>0</v>
      </c>
      <c r="K34" s="107">
        <v>0</v>
      </c>
      <c r="L34" s="106">
        <v>0</v>
      </c>
      <c r="M34" s="107">
        <v>0</v>
      </c>
      <c r="N34" s="106">
        <v>0</v>
      </c>
      <c r="O34" s="107">
        <v>0</v>
      </c>
      <c r="P34" s="106">
        <v>0</v>
      </c>
      <c r="Q34" s="107">
        <v>0</v>
      </c>
      <c r="R34" s="106">
        <v>0</v>
      </c>
      <c r="S34" s="107">
        <v>0</v>
      </c>
      <c r="T34" s="106">
        <v>0</v>
      </c>
      <c r="U34" s="107">
        <v>0</v>
      </c>
      <c r="V34" s="106">
        <v>0</v>
      </c>
      <c r="W34" s="107">
        <v>0</v>
      </c>
      <c r="X34" s="106">
        <v>0</v>
      </c>
      <c r="Y34" s="107">
        <v>0</v>
      </c>
      <c r="Z34" s="106">
        <v>0</v>
      </c>
      <c r="AA34" s="107">
        <v>0</v>
      </c>
      <c r="AB34" s="106">
        <v>0</v>
      </c>
      <c r="AC34" s="107">
        <v>0</v>
      </c>
      <c r="AD34" s="106">
        <v>0</v>
      </c>
      <c r="AE34" s="107">
        <v>0</v>
      </c>
      <c r="AF34" s="106">
        <v>0</v>
      </c>
      <c r="AG34" s="107">
        <v>0</v>
      </c>
      <c r="AH34" s="106">
        <v>0</v>
      </c>
      <c r="AI34" s="107">
        <v>0</v>
      </c>
      <c r="AJ34" s="106">
        <v>0</v>
      </c>
      <c r="AK34" s="107">
        <v>0</v>
      </c>
      <c r="AL34" s="106">
        <v>0</v>
      </c>
      <c r="AM34" s="107">
        <v>0</v>
      </c>
      <c r="AN34" s="106">
        <v>3683618.16</v>
      </c>
      <c r="AO34" s="107">
        <v>418200.69</v>
      </c>
    </row>
    <row r="35" spans="1:41" ht="12.75">
      <c r="A35" s="34" t="s">
        <v>1</v>
      </c>
      <c r="B35" s="108">
        <v>2887250.08</v>
      </c>
      <c r="C35" s="109">
        <v>394361.92</v>
      </c>
      <c r="D35" s="108">
        <v>796368.08</v>
      </c>
      <c r="E35" s="109">
        <v>23838.77</v>
      </c>
      <c r="F35" s="182"/>
      <c r="G35" s="183"/>
      <c r="H35" s="182"/>
      <c r="I35" s="183"/>
      <c r="J35" s="182"/>
      <c r="K35" s="183"/>
      <c r="L35" s="182"/>
      <c r="M35" s="183"/>
      <c r="N35" s="182"/>
      <c r="O35" s="183"/>
      <c r="P35" s="182"/>
      <c r="Q35" s="183"/>
      <c r="R35" s="182"/>
      <c r="S35" s="183"/>
      <c r="T35" s="182"/>
      <c r="U35" s="183"/>
      <c r="V35" s="182"/>
      <c r="W35" s="183"/>
      <c r="X35" s="182"/>
      <c r="Y35" s="183"/>
      <c r="Z35" s="182"/>
      <c r="AA35" s="183"/>
      <c r="AB35" s="182"/>
      <c r="AC35" s="183"/>
      <c r="AD35" s="182"/>
      <c r="AE35" s="183"/>
      <c r="AF35" s="182"/>
      <c r="AG35" s="183"/>
      <c r="AH35" s="182"/>
      <c r="AI35" s="183"/>
      <c r="AJ35" s="182"/>
      <c r="AK35" s="183"/>
      <c r="AL35" s="182"/>
      <c r="AM35" s="183"/>
      <c r="AN35" s="209">
        <v>3683618.16</v>
      </c>
      <c r="AO35" s="210">
        <v>418200.69</v>
      </c>
    </row>
    <row r="36" spans="1:41" ht="12.75">
      <c r="A36" s="33" t="s">
        <v>125</v>
      </c>
      <c r="B36" s="110">
        <v>14901138.36</v>
      </c>
      <c r="C36" s="111">
        <v>4109894.42</v>
      </c>
      <c r="D36" s="110">
        <v>16790975.7</v>
      </c>
      <c r="E36" s="111">
        <v>2220057.01</v>
      </c>
      <c r="F36" s="110">
        <v>9239487.710000003</v>
      </c>
      <c r="G36" s="111">
        <v>328199.98</v>
      </c>
      <c r="H36" s="110">
        <v>0</v>
      </c>
      <c r="I36" s="111">
        <v>0</v>
      </c>
      <c r="J36" s="110">
        <v>0</v>
      </c>
      <c r="K36" s="111">
        <v>0</v>
      </c>
      <c r="L36" s="110">
        <v>0</v>
      </c>
      <c r="M36" s="111">
        <v>0</v>
      </c>
      <c r="N36" s="110">
        <v>0</v>
      </c>
      <c r="O36" s="111">
        <v>0</v>
      </c>
      <c r="P36" s="110">
        <v>0</v>
      </c>
      <c r="Q36" s="111">
        <v>0</v>
      </c>
      <c r="R36" s="110">
        <v>0</v>
      </c>
      <c r="S36" s="111">
        <v>0</v>
      </c>
      <c r="T36" s="110">
        <v>0</v>
      </c>
      <c r="U36" s="111">
        <v>0</v>
      </c>
      <c r="V36" s="110">
        <v>0</v>
      </c>
      <c r="W36" s="111">
        <v>0</v>
      </c>
      <c r="X36" s="110">
        <v>0</v>
      </c>
      <c r="Y36" s="111">
        <v>0</v>
      </c>
      <c r="Z36" s="110">
        <v>0</v>
      </c>
      <c r="AA36" s="111">
        <v>0</v>
      </c>
      <c r="AB36" s="110">
        <v>0</v>
      </c>
      <c r="AC36" s="111">
        <v>0</v>
      </c>
      <c r="AD36" s="110">
        <v>0</v>
      </c>
      <c r="AE36" s="111">
        <v>0</v>
      </c>
      <c r="AF36" s="110">
        <v>0</v>
      </c>
      <c r="AG36" s="111">
        <v>0</v>
      </c>
      <c r="AH36" s="110">
        <v>0</v>
      </c>
      <c r="AI36" s="111">
        <v>0</v>
      </c>
      <c r="AJ36" s="110">
        <v>0</v>
      </c>
      <c r="AK36" s="111">
        <v>0</v>
      </c>
      <c r="AL36" s="110">
        <v>0</v>
      </c>
      <c r="AM36" s="111">
        <v>0</v>
      </c>
      <c r="AN36" s="106">
        <v>40931601.77</v>
      </c>
      <c r="AO36" s="107">
        <v>6658151.41</v>
      </c>
    </row>
    <row r="37" spans="1:41" ht="12.75">
      <c r="A37" s="34" t="s">
        <v>1</v>
      </c>
      <c r="B37" s="108">
        <v>1521065.82</v>
      </c>
      <c r="C37" s="109">
        <v>418772.3</v>
      </c>
      <c r="D37" s="108">
        <v>1713975.04</v>
      </c>
      <c r="E37" s="109">
        <v>225863.09</v>
      </c>
      <c r="F37" s="108">
        <v>936857.17</v>
      </c>
      <c r="G37" s="109">
        <v>33061.89</v>
      </c>
      <c r="H37" s="182"/>
      <c r="I37" s="183"/>
      <c r="J37" s="182"/>
      <c r="K37" s="183"/>
      <c r="L37" s="182"/>
      <c r="M37" s="183"/>
      <c r="N37" s="182"/>
      <c r="O37" s="183"/>
      <c r="P37" s="182"/>
      <c r="Q37" s="183"/>
      <c r="R37" s="182"/>
      <c r="S37" s="183"/>
      <c r="T37" s="182"/>
      <c r="U37" s="183"/>
      <c r="V37" s="182"/>
      <c r="W37" s="183"/>
      <c r="X37" s="182"/>
      <c r="Y37" s="183"/>
      <c r="Z37" s="182"/>
      <c r="AA37" s="183"/>
      <c r="AB37" s="182"/>
      <c r="AC37" s="183"/>
      <c r="AD37" s="182"/>
      <c r="AE37" s="183"/>
      <c r="AF37" s="182"/>
      <c r="AG37" s="183"/>
      <c r="AH37" s="182"/>
      <c r="AI37" s="183"/>
      <c r="AJ37" s="182"/>
      <c r="AK37" s="183"/>
      <c r="AL37" s="182"/>
      <c r="AM37" s="183"/>
      <c r="AN37" s="209">
        <v>4171898.03</v>
      </c>
      <c r="AO37" s="210">
        <v>677697.28</v>
      </c>
    </row>
    <row r="38" spans="1:41" ht="12.75">
      <c r="A38" s="34" t="s">
        <v>21</v>
      </c>
      <c r="B38" s="108">
        <v>939654.42</v>
      </c>
      <c r="C38" s="109">
        <v>258701</v>
      </c>
      <c r="D38" s="108">
        <v>1058826.12</v>
      </c>
      <c r="E38" s="109">
        <v>139529.29</v>
      </c>
      <c r="F38" s="108">
        <v>578753.39</v>
      </c>
      <c r="G38" s="109">
        <v>20424.31</v>
      </c>
      <c r="H38" s="182"/>
      <c r="I38" s="183"/>
      <c r="J38" s="182"/>
      <c r="K38" s="183"/>
      <c r="L38" s="182"/>
      <c r="M38" s="183"/>
      <c r="N38" s="182"/>
      <c r="O38" s="183"/>
      <c r="P38" s="182"/>
      <c r="Q38" s="183"/>
      <c r="R38" s="182"/>
      <c r="S38" s="183"/>
      <c r="T38" s="182"/>
      <c r="U38" s="183"/>
      <c r="V38" s="182"/>
      <c r="W38" s="183"/>
      <c r="X38" s="182"/>
      <c r="Y38" s="183"/>
      <c r="Z38" s="182"/>
      <c r="AA38" s="183"/>
      <c r="AB38" s="182"/>
      <c r="AC38" s="183"/>
      <c r="AD38" s="182"/>
      <c r="AE38" s="183"/>
      <c r="AF38" s="182"/>
      <c r="AG38" s="183"/>
      <c r="AH38" s="182"/>
      <c r="AI38" s="183"/>
      <c r="AJ38" s="182"/>
      <c r="AK38" s="183"/>
      <c r="AL38" s="182"/>
      <c r="AM38" s="183"/>
      <c r="AN38" s="209">
        <v>2577233.93</v>
      </c>
      <c r="AO38" s="210">
        <v>418654.6</v>
      </c>
    </row>
    <row r="39" spans="1:41" ht="12.75">
      <c r="A39" s="34" t="s">
        <v>22</v>
      </c>
      <c r="B39" s="108">
        <v>360792.35</v>
      </c>
      <c r="C39" s="109">
        <v>99331.57</v>
      </c>
      <c r="D39" s="108">
        <v>406549.86</v>
      </c>
      <c r="E39" s="109">
        <v>53574.07</v>
      </c>
      <c r="F39" s="108">
        <v>222219.78</v>
      </c>
      <c r="G39" s="109">
        <v>7842.18</v>
      </c>
      <c r="H39" s="182"/>
      <c r="I39" s="183"/>
      <c r="J39" s="182"/>
      <c r="K39" s="183"/>
      <c r="L39" s="182"/>
      <c r="M39" s="183"/>
      <c r="N39" s="182"/>
      <c r="O39" s="183"/>
      <c r="P39" s="182"/>
      <c r="Q39" s="183"/>
      <c r="R39" s="182"/>
      <c r="S39" s="183"/>
      <c r="T39" s="182"/>
      <c r="U39" s="183"/>
      <c r="V39" s="182"/>
      <c r="W39" s="183"/>
      <c r="X39" s="182"/>
      <c r="Y39" s="183"/>
      <c r="Z39" s="182"/>
      <c r="AA39" s="183"/>
      <c r="AB39" s="182"/>
      <c r="AC39" s="183"/>
      <c r="AD39" s="182"/>
      <c r="AE39" s="183"/>
      <c r="AF39" s="182"/>
      <c r="AG39" s="183"/>
      <c r="AH39" s="182"/>
      <c r="AI39" s="183"/>
      <c r="AJ39" s="182"/>
      <c r="AK39" s="183"/>
      <c r="AL39" s="182"/>
      <c r="AM39" s="183"/>
      <c r="AN39" s="209">
        <v>989561.99</v>
      </c>
      <c r="AO39" s="210">
        <v>160747.82</v>
      </c>
    </row>
    <row r="40" spans="1:41" ht="12.75">
      <c r="A40" s="34" t="s">
        <v>126</v>
      </c>
      <c r="B40" s="108">
        <v>1798694.36</v>
      </c>
      <c r="C40" s="109">
        <v>495207.64</v>
      </c>
      <c r="D40" s="108">
        <v>2026813.83</v>
      </c>
      <c r="E40" s="109">
        <v>267088.17</v>
      </c>
      <c r="F40" s="108">
        <v>1107854.59</v>
      </c>
      <c r="G40" s="109">
        <v>39096.42</v>
      </c>
      <c r="H40" s="182"/>
      <c r="I40" s="183"/>
      <c r="J40" s="182"/>
      <c r="K40" s="183"/>
      <c r="L40" s="182"/>
      <c r="M40" s="183"/>
      <c r="N40" s="182"/>
      <c r="O40" s="183"/>
      <c r="P40" s="182"/>
      <c r="Q40" s="183"/>
      <c r="R40" s="182"/>
      <c r="S40" s="183"/>
      <c r="T40" s="182"/>
      <c r="U40" s="183"/>
      <c r="V40" s="182"/>
      <c r="W40" s="183"/>
      <c r="X40" s="182"/>
      <c r="Y40" s="183"/>
      <c r="Z40" s="182"/>
      <c r="AA40" s="183"/>
      <c r="AB40" s="182"/>
      <c r="AC40" s="183"/>
      <c r="AD40" s="182"/>
      <c r="AE40" s="183"/>
      <c r="AF40" s="182"/>
      <c r="AG40" s="183"/>
      <c r="AH40" s="182"/>
      <c r="AI40" s="183"/>
      <c r="AJ40" s="182"/>
      <c r="AK40" s="183"/>
      <c r="AL40" s="182"/>
      <c r="AM40" s="183"/>
      <c r="AN40" s="209">
        <v>4933362.78</v>
      </c>
      <c r="AO40" s="210">
        <v>801392.23</v>
      </c>
    </row>
    <row r="41" spans="1:41" ht="12.75">
      <c r="A41" s="34" t="s">
        <v>127</v>
      </c>
      <c r="B41" s="108">
        <v>231118.75</v>
      </c>
      <c r="C41" s="109">
        <v>63630.47</v>
      </c>
      <c r="D41" s="108">
        <v>260430.39</v>
      </c>
      <c r="E41" s="109">
        <v>34318.82</v>
      </c>
      <c r="F41" s="108">
        <v>142351.02</v>
      </c>
      <c r="G41" s="109">
        <v>5023.6</v>
      </c>
      <c r="H41" s="182"/>
      <c r="I41" s="183"/>
      <c r="J41" s="182"/>
      <c r="K41" s="183"/>
      <c r="L41" s="182"/>
      <c r="M41" s="183"/>
      <c r="N41" s="182"/>
      <c r="O41" s="183"/>
      <c r="P41" s="182"/>
      <c r="Q41" s="183"/>
      <c r="R41" s="182"/>
      <c r="S41" s="183"/>
      <c r="T41" s="182"/>
      <c r="U41" s="183"/>
      <c r="V41" s="182"/>
      <c r="W41" s="183"/>
      <c r="X41" s="182"/>
      <c r="Y41" s="183"/>
      <c r="Z41" s="182"/>
      <c r="AA41" s="183"/>
      <c r="AB41" s="182"/>
      <c r="AC41" s="183"/>
      <c r="AD41" s="182"/>
      <c r="AE41" s="183"/>
      <c r="AF41" s="182"/>
      <c r="AG41" s="183"/>
      <c r="AH41" s="182"/>
      <c r="AI41" s="183"/>
      <c r="AJ41" s="182"/>
      <c r="AK41" s="183"/>
      <c r="AL41" s="182"/>
      <c r="AM41" s="183"/>
      <c r="AN41" s="209">
        <v>633900.16</v>
      </c>
      <c r="AO41" s="210">
        <v>102972.89</v>
      </c>
    </row>
    <row r="42" spans="1:41" ht="12.75">
      <c r="A42" s="34" t="s">
        <v>14</v>
      </c>
      <c r="B42" s="108">
        <v>262970.21</v>
      </c>
      <c r="C42" s="109">
        <v>72399.67</v>
      </c>
      <c r="D42" s="108">
        <v>296321.42</v>
      </c>
      <c r="E42" s="109">
        <v>39048.45</v>
      </c>
      <c r="F42" s="108">
        <v>161969.01</v>
      </c>
      <c r="G42" s="109">
        <v>5715.92</v>
      </c>
      <c r="H42" s="182"/>
      <c r="I42" s="183"/>
      <c r="J42" s="182"/>
      <c r="K42" s="183"/>
      <c r="L42" s="182"/>
      <c r="M42" s="183"/>
      <c r="N42" s="182"/>
      <c r="O42" s="183"/>
      <c r="P42" s="182"/>
      <c r="Q42" s="183"/>
      <c r="R42" s="182"/>
      <c r="S42" s="183"/>
      <c r="T42" s="182"/>
      <c r="U42" s="183"/>
      <c r="V42" s="182"/>
      <c r="W42" s="183"/>
      <c r="X42" s="182"/>
      <c r="Y42" s="183"/>
      <c r="Z42" s="182"/>
      <c r="AA42" s="183"/>
      <c r="AB42" s="182"/>
      <c r="AC42" s="183"/>
      <c r="AD42" s="182"/>
      <c r="AE42" s="183"/>
      <c r="AF42" s="182"/>
      <c r="AG42" s="183"/>
      <c r="AH42" s="182"/>
      <c r="AI42" s="183"/>
      <c r="AJ42" s="182"/>
      <c r="AK42" s="183"/>
      <c r="AL42" s="182"/>
      <c r="AM42" s="183"/>
      <c r="AN42" s="209">
        <v>721260.64</v>
      </c>
      <c r="AO42" s="210">
        <v>117164.04</v>
      </c>
    </row>
    <row r="43" spans="1:41" s="42" customFormat="1" ht="12">
      <c r="A43" s="34" t="s">
        <v>13</v>
      </c>
      <c r="B43" s="108">
        <v>1371597.58</v>
      </c>
      <c r="C43" s="109">
        <v>377621.45</v>
      </c>
      <c r="D43" s="108">
        <v>1545550.48</v>
      </c>
      <c r="E43" s="109">
        <v>203668.55</v>
      </c>
      <c r="F43" s="108">
        <v>844796.48</v>
      </c>
      <c r="G43" s="109">
        <v>29813.03</v>
      </c>
      <c r="H43" s="182"/>
      <c r="I43" s="183"/>
      <c r="J43" s="182"/>
      <c r="K43" s="183"/>
      <c r="L43" s="182"/>
      <c r="M43" s="183"/>
      <c r="N43" s="182"/>
      <c r="O43" s="183"/>
      <c r="P43" s="182"/>
      <c r="Q43" s="183"/>
      <c r="R43" s="182"/>
      <c r="S43" s="183"/>
      <c r="T43" s="182"/>
      <c r="U43" s="183"/>
      <c r="V43" s="182"/>
      <c r="W43" s="183"/>
      <c r="X43" s="182"/>
      <c r="Y43" s="183"/>
      <c r="Z43" s="182"/>
      <c r="AA43" s="183"/>
      <c r="AB43" s="182"/>
      <c r="AC43" s="183"/>
      <c r="AD43" s="182"/>
      <c r="AE43" s="183"/>
      <c r="AF43" s="182"/>
      <c r="AG43" s="183"/>
      <c r="AH43" s="182"/>
      <c r="AI43" s="183"/>
      <c r="AJ43" s="182"/>
      <c r="AK43" s="183"/>
      <c r="AL43" s="182"/>
      <c r="AM43" s="183"/>
      <c r="AN43" s="209">
        <v>3761944.54</v>
      </c>
      <c r="AO43" s="210">
        <v>611103.03</v>
      </c>
    </row>
    <row r="44" spans="1:41" ht="12.75">
      <c r="A44" s="34" t="s">
        <v>9</v>
      </c>
      <c r="B44" s="108">
        <v>452717.91</v>
      </c>
      <c r="C44" s="109">
        <v>124640.06</v>
      </c>
      <c r="D44" s="108">
        <v>510133.89</v>
      </c>
      <c r="E44" s="109">
        <v>67224.09</v>
      </c>
      <c r="F44" s="108">
        <v>278838.73</v>
      </c>
      <c r="G44" s="109">
        <v>9840.28</v>
      </c>
      <c r="H44" s="182"/>
      <c r="I44" s="183"/>
      <c r="J44" s="182"/>
      <c r="K44" s="183"/>
      <c r="L44" s="182"/>
      <c r="M44" s="183"/>
      <c r="N44" s="182"/>
      <c r="O44" s="183"/>
      <c r="P44" s="182"/>
      <c r="Q44" s="183"/>
      <c r="R44" s="182"/>
      <c r="S44" s="183"/>
      <c r="T44" s="182"/>
      <c r="U44" s="183"/>
      <c r="V44" s="182"/>
      <c r="W44" s="183"/>
      <c r="X44" s="182"/>
      <c r="Y44" s="183"/>
      <c r="Z44" s="182"/>
      <c r="AA44" s="183"/>
      <c r="AB44" s="182"/>
      <c r="AC44" s="183"/>
      <c r="AD44" s="182"/>
      <c r="AE44" s="183"/>
      <c r="AF44" s="182"/>
      <c r="AG44" s="183"/>
      <c r="AH44" s="182"/>
      <c r="AI44" s="183"/>
      <c r="AJ44" s="182"/>
      <c r="AK44" s="183"/>
      <c r="AL44" s="182"/>
      <c r="AM44" s="183"/>
      <c r="AN44" s="209">
        <v>1241690.53</v>
      </c>
      <c r="AO44" s="210">
        <v>201704.43</v>
      </c>
    </row>
    <row r="45" spans="1:41" s="42" customFormat="1" ht="12">
      <c r="A45" s="34" t="s">
        <v>128</v>
      </c>
      <c r="B45" s="108">
        <v>1358153.77</v>
      </c>
      <c r="C45" s="109">
        <v>373920.17</v>
      </c>
      <c r="D45" s="108">
        <v>1530401.66</v>
      </c>
      <c r="E45" s="109">
        <v>201672.28</v>
      </c>
      <c r="F45" s="108">
        <v>836516.16</v>
      </c>
      <c r="G45" s="109">
        <v>29520.82</v>
      </c>
      <c r="H45" s="182"/>
      <c r="I45" s="183"/>
      <c r="J45" s="182"/>
      <c r="K45" s="183"/>
      <c r="L45" s="182"/>
      <c r="M45" s="183"/>
      <c r="N45" s="182"/>
      <c r="O45" s="183"/>
      <c r="P45" s="182"/>
      <c r="Q45" s="183"/>
      <c r="R45" s="182"/>
      <c r="S45" s="183"/>
      <c r="T45" s="182"/>
      <c r="U45" s="183"/>
      <c r="V45" s="182"/>
      <c r="W45" s="183"/>
      <c r="X45" s="182"/>
      <c r="Y45" s="183"/>
      <c r="Z45" s="182"/>
      <c r="AA45" s="183"/>
      <c r="AB45" s="182"/>
      <c r="AC45" s="183"/>
      <c r="AD45" s="182"/>
      <c r="AE45" s="183"/>
      <c r="AF45" s="182"/>
      <c r="AG45" s="183"/>
      <c r="AH45" s="182"/>
      <c r="AI45" s="183"/>
      <c r="AJ45" s="182"/>
      <c r="AK45" s="183"/>
      <c r="AL45" s="182"/>
      <c r="AM45" s="183"/>
      <c r="AN45" s="209">
        <v>3725071.59</v>
      </c>
      <c r="AO45" s="210">
        <v>605113.27</v>
      </c>
    </row>
    <row r="46" spans="1:41" ht="12.75">
      <c r="A46" s="34" t="s">
        <v>84</v>
      </c>
      <c r="B46" s="108">
        <v>1499532.47</v>
      </c>
      <c r="C46" s="109">
        <v>412843.87</v>
      </c>
      <c r="D46" s="108">
        <v>1689710.71</v>
      </c>
      <c r="E46" s="109">
        <v>222665.61</v>
      </c>
      <c r="F46" s="108">
        <v>923594.32</v>
      </c>
      <c r="G46" s="109">
        <v>32593.83</v>
      </c>
      <c r="H46" s="182"/>
      <c r="I46" s="183"/>
      <c r="J46" s="182"/>
      <c r="K46" s="183"/>
      <c r="L46" s="182"/>
      <c r="M46" s="183"/>
      <c r="N46" s="182"/>
      <c r="O46" s="183"/>
      <c r="P46" s="182"/>
      <c r="Q46" s="183"/>
      <c r="R46" s="182"/>
      <c r="S46" s="183"/>
      <c r="T46" s="182"/>
      <c r="U46" s="183"/>
      <c r="V46" s="182"/>
      <c r="W46" s="183"/>
      <c r="X46" s="182"/>
      <c r="Y46" s="183"/>
      <c r="Z46" s="182"/>
      <c r="AA46" s="183"/>
      <c r="AB46" s="182"/>
      <c r="AC46" s="183"/>
      <c r="AD46" s="182"/>
      <c r="AE46" s="183"/>
      <c r="AF46" s="182"/>
      <c r="AG46" s="183"/>
      <c r="AH46" s="182"/>
      <c r="AI46" s="183"/>
      <c r="AJ46" s="182"/>
      <c r="AK46" s="183"/>
      <c r="AL46" s="182"/>
      <c r="AM46" s="183"/>
      <c r="AN46" s="209">
        <v>4112837.5</v>
      </c>
      <c r="AO46" s="210">
        <v>668103.31</v>
      </c>
    </row>
    <row r="47" spans="1:41" ht="12.75">
      <c r="A47" s="34" t="s">
        <v>5</v>
      </c>
      <c r="B47" s="108">
        <v>1101605.88</v>
      </c>
      <c r="C47" s="109">
        <v>303288.68</v>
      </c>
      <c r="D47" s="108">
        <v>1241317.06</v>
      </c>
      <c r="E47" s="109">
        <v>163577.48</v>
      </c>
      <c r="F47" s="108">
        <v>678502.78</v>
      </c>
      <c r="G47" s="109">
        <v>23944.5</v>
      </c>
      <c r="H47" s="182"/>
      <c r="I47" s="183"/>
      <c r="J47" s="182"/>
      <c r="K47" s="183"/>
      <c r="L47" s="182"/>
      <c r="M47" s="183"/>
      <c r="N47" s="182"/>
      <c r="O47" s="183"/>
      <c r="P47" s="182"/>
      <c r="Q47" s="183"/>
      <c r="R47" s="182"/>
      <c r="S47" s="183"/>
      <c r="T47" s="182"/>
      <c r="U47" s="183"/>
      <c r="V47" s="182"/>
      <c r="W47" s="183"/>
      <c r="X47" s="182"/>
      <c r="Y47" s="183"/>
      <c r="Z47" s="182"/>
      <c r="AA47" s="183"/>
      <c r="AB47" s="182"/>
      <c r="AC47" s="183"/>
      <c r="AD47" s="182"/>
      <c r="AE47" s="183"/>
      <c r="AF47" s="182"/>
      <c r="AG47" s="183"/>
      <c r="AH47" s="182"/>
      <c r="AI47" s="183"/>
      <c r="AJ47" s="182"/>
      <c r="AK47" s="183"/>
      <c r="AL47" s="182"/>
      <c r="AM47" s="183"/>
      <c r="AN47" s="209">
        <v>3021425.72</v>
      </c>
      <c r="AO47" s="210">
        <v>490810.66</v>
      </c>
    </row>
    <row r="48" spans="1:41" ht="12.75">
      <c r="A48" s="34" t="s">
        <v>7</v>
      </c>
      <c r="B48" s="108">
        <v>569787.31</v>
      </c>
      <c r="C48" s="109">
        <v>156871.02</v>
      </c>
      <c r="D48" s="108">
        <v>642050.59</v>
      </c>
      <c r="E48" s="109">
        <v>84607.73</v>
      </c>
      <c r="F48" s="108">
        <v>350944.27</v>
      </c>
      <c r="G48" s="109">
        <v>12384.89</v>
      </c>
      <c r="H48" s="182"/>
      <c r="I48" s="183"/>
      <c r="J48" s="182"/>
      <c r="K48" s="183"/>
      <c r="L48" s="182"/>
      <c r="M48" s="183"/>
      <c r="N48" s="182"/>
      <c r="O48" s="183"/>
      <c r="P48" s="182"/>
      <c r="Q48" s="183"/>
      <c r="R48" s="182"/>
      <c r="S48" s="183"/>
      <c r="T48" s="182"/>
      <c r="U48" s="183"/>
      <c r="V48" s="182"/>
      <c r="W48" s="183"/>
      <c r="X48" s="182"/>
      <c r="Y48" s="183"/>
      <c r="Z48" s="182"/>
      <c r="AA48" s="183"/>
      <c r="AB48" s="182"/>
      <c r="AC48" s="183"/>
      <c r="AD48" s="182"/>
      <c r="AE48" s="183"/>
      <c r="AF48" s="182"/>
      <c r="AG48" s="183"/>
      <c r="AH48" s="182"/>
      <c r="AI48" s="183"/>
      <c r="AJ48" s="182"/>
      <c r="AK48" s="183"/>
      <c r="AL48" s="182"/>
      <c r="AM48" s="183"/>
      <c r="AN48" s="209">
        <v>1562782.17</v>
      </c>
      <c r="AO48" s="210">
        <v>253863.64</v>
      </c>
    </row>
    <row r="49" spans="1:41" ht="12.75">
      <c r="A49" s="34" t="s">
        <v>105</v>
      </c>
      <c r="B49" s="108">
        <v>1064404.21</v>
      </c>
      <c r="C49" s="109">
        <v>293046.51</v>
      </c>
      <c r="D49" s="108">
        <v>1199397.32</v>
      </c>
      <c r="E49" s="109">
        <v>158053.41</v>
      </c>
      <c r="F49" s="108">
        <v>655589.46</v>
      </c>
      <c r="G49" s="109">
        <v>23135.88</v>
      </c>
      <c r="H49" s="182"/>
      <c r="I49" s="183"/>
      <c r="J49" s="182"/>
      <c r="K49" s="183"/>
      <c r="L49" s="182"/>
      <c r="M49" s="183"/>
      <c r="N49" s="182"/>
      <c r="O49" s="183"/>
      <c r="P49" s="182"/>
      <c r="Q49" s="183"/>
      <c r="R49" s="182"/>
      <c r="S49" s="183"/>
      <c r="T49" s="182"/>
      <c r="U49" s="183"/>
      <c r="V49" s="182"/>
      <c r="W49" s="183"/>
      <c r="X49" s="182"/>
      <c r="Y49" s="183"/>
      <c r="Z49" s="182"/>
      <c r="AA49" s="183"/>
      <c r="AB49" s="182"/>
      <c r="AC49" s="183"/>
      <c r="AD49" s="182"/>
      <c r="AE49" s="183"/>
      <c r="AF49" s="182"/>
      <c r="AG49" s="183"/>
      <c r="AH49" s="182"/>
      <c r="AI49" s="183"/>
      <c r="AJ49" s="182"/>
      <c r="AK49" s="183"/>
      <c r="AL49" s="182"/>
      <c r="AM49" s="183"/>
      <c r="AN49" s="209">
        <v>2919390.99</v>
      </c>
      <c r="AO49" s="210">
        <v>474235.8</v>
      </c>
    </row>
    <row r="50" spans="1:41" ht="12.75">
      <c r="A50" s="34" t="s">
        <v>4</v>
      </c>
      <c r="B50" s="108">
        <v>696053.81</v>
      </c>
      <c r="C50" s="109">
        <v>191634.09</v>
      </c>
      <c r="D50" s="108">
        <v>784330.85</v>
      </c>
      <c r="E50" s="109">
        <v>103357.04</v>
      </c>
      <c r="F50" s="108">
        <v>428714.54</v>
      </c>
      <c r="G50" s="109">
        <v>15129.43</v>
      </c>
      <c r="H50" s="182"/>
      <c r="I50" s="183"/>
      <c r="J50" s="182"/>
      <c r="K50" s="183"/>
      <c r="L50" s="182"/>
      <c r="M50" s="183"/>
      <c r="N50" s="182"/>
      <c r="O50" s="183"/>
      <c r="P50" s="182"/>
      <c r="Q50" s="183"/>
      <c r="R50" s="182"/>
      <c r="S50" s="183"/>
      <c r="T50" s="182"/>
      <c r="U50" s="183"/>
      <c r="V50" s="182"/>
      <c r="W50" s="183"/>
      <c r="X50" s="182"/>
      <c r="Y50" s="183"/>
      <c r="Z50" s="182"/>
      <c r="AA50" s="183"/>
      <c r="AB50" s="182"/>
      <c r="AC50" s="183"/>
      <c r="AD50" s="182"/>
      <c r="AE50" s="183"/>
      <c r="AF50" s="182"/>
      <c r="AG50" s="183"/>
      <c r="AH50" s="182"/>
      <c r="AI50" s="183"/>
      <c r="AJ50" s="182"/>
      <c r="AK50" s="183"/>
      <c r="AL50" s="182"/>
      <c r="AM50" s="183"/>
      <c r="AN50" s="209">
        <v>1909099.2</v>
      </c>
      <c r="AO50" s="210">
        <v>310120.56</v>
      </c>
    </row>
    <row r="51" spans="1:41" ht="12.75">
      <c r="A51" s="34" t="s">
        <v>10</v>
      </c>
      <c r="B51" s="108">
        <v>579204.75</v>
      </c>
      <c r="C51" s="109">
        <v>166850.49</v>
      </c>
      <c r="D51" s="108">
        <v>652662.41</v>
      </c>
      <c r="E51" s="109">
        <v>93392.82</v>
      </c>
      <c r="F51" s="108">
        <v>418300.39</v>
      </c>
      <c r="G51" s="109">
        <v>16898.49</v>
      </c>
      <c r="H51" s="182"/>
      <c r="I51" s="183"/>
      <c r="J51" s="182"/>
      <c r="K51" s="183"/>
      <c r="L51" s="182"/>
      <c r="M51" s="183"/>
      <c r="N51" s="182"/>
      <c r="O51" s="183"/>
      <c r="P51" s="182"/>
      <c r="Q51" s="183"/>
      <c r="R51" s="182"/>
      <c r="S51" s="183"/>
      <c r="T51" s="182"/>
      <c r="U51" s="183"/>
      <c r="V51" s="182"/>
      <c r="W51" s="183"/>
      <c r="X51" s="182"/>
      <c r="Y51" s="183"/>
      <c r="Z51" s="182"/>
      <c r="AA51" s="183"/>
      <c r="AB51" s="182"/>
      <c r="AC51" s="183"/>
      <c r="AD51" s="182"/>
      <c r="AE51" s="183"/>
      <c r="AF51" s="182"/>
      <c r="AG51" s="183"/>
      <c r="AH51" s="182"/>
      <c r="AI51" s="183"/>
      <c r="AJ51" s="182"/>
      <c r="AK51" s="183"/>
      <c r="AL51" s="182"/>
      <c r="AM51" s="183"/>
      <c r="AN51" s="209">
        <v>1650167.55</v>
      </c>
      <c r="AO51" s="210">
        <v>277141.8</v>
      </c>
    </row>
    <row r="52" spans="1:41" ht="12.75">
      <c r="A52" s="34" t="s">
        <v>95</v>
      </c>
      <c r="B52" s="108">
        <v>838713.1</v>
      </c>
      <c r="C52" s="109">
        <v>230910.35</v>
      </c>
      <c r="D52" s="108">
        <v>945082.93</v>
      </c>
      <c r="E52" s="109">
        <v>124540.53</v>
      </c>
      <c r="F52" s="108">
        <v>516581.48</v>
      </c>
      <c r="G52" s="109">
        <v>18230.27</v>
      </c>
      <c r="H52" s="182"/>
      <c r="I52" s="183"/>
      <c r="J52" s="182"/>
      <c r="K52" s="183"/>
      <c r="L52" s="182"/>
      <c r="M52" s="183"/>
      <c r="N52" s="182"/>
      <c r="O52" s="183"/>
      <c r="P52" s="182"/>
      <c r="Q52" s="183"/>
      <c r="R52" s="182"/>
      <c r="S52" s="183"/>
      <c r="T52" s="182"/>
      <c r="U52" s="183"/>
      <c r="V52" s="182"/>
      <c r="W52" s="183"/>
      <c r="X52" s="182"/>
      <c r="Y52" s="183"/>
      <c r="Z52" s="182"/>
      <c r="AA52" s="183"/>
      <c r="AB52" s="182"/>
      <c r="AC52" s="183"/>
      <c r="AD52" s="182"/>
      <c r="AE52" s="183"/>
      <c r="AF52" s="182"/>
      <c r="AG52" s="183"/>
      <c r="AH52" s="182"/>
      <c r="AI52" s="183"/>
      <c r="AJ52" s="182"/>
      <c r="AK52" s="183"/>
      <c r="AL52" s="182"/>
      <c r="AM52" s="183"/>
      <c r="AN52" s="209">
        <v>2300377.51</v>
      </c>
      <c r="AO52" s="210">
        <v>373681.15</v>
      </c>
    </row>
    <row r="53" spans="1:41" ht="12.75">
      <c r="A53" s="34" t="s">
        <v>6</v>
      </c>
      <c r="B53" s="108">
        <v>255071.66</v>
      </c>
      <c r="C53" s="109">
        <v>70225.08</v>
      </c>
      <c r="D53" s="108">
        <v>287421.14</v>
      </c>
      <c r="E53" s="109">
        <v>37875.58</v>
      </c>
      <c r="F53" s="108">
        <v>157104.14</v>
      </c>
      <c r="G53" s="109">
        <v>5544.24</v>
      </c>
      <c r="H53" s="182"/>
      <c r="I53" s="183"/>
      <c r="J53" s="182"/>
      <c r="K53" s="183"/>
      <c r="L53" s="182"/>
      <c r="M53" s="183"/>
      <c r="N53" s="182"/>
      <c r="O53" s="183"/>
      <c r="P53" s="182"/>
      <c r="Q53" s="183"/>
      <c r="R53" s="182"/>
      <c r="S53" s="183"/>
      <c r="T53" s="182"/>
      <c r="U53" s="183"/>
      <c r="V53" s="182"/>
      <c r="W53" s="183"/>
      <c r="X53" s="182"/>
      <c r="Y53" s="183"/>
      <c r="Z53" s="182"/>
      <c r="AA53" s="183"/>
      <c r="AB53" s="182"/>
      <c r="AC53" s="183"/>
      <c r="AD53" s="182"/>
      <c r="AE53" s="183"/>
      <c r="AF53" s="182"/>
      <c r="AG53" s="183"/>
      <c r="AH53" s="182"/>
      <c r="AI53" s="183"/>
      <c r="AJ53" s="182"/>
      <c r="AK53" s="183"/>
      <c r="AL53" s="182"/>
      <c r="AM53" s="183"/>
      <c r="AN53" s="209">
        <v>699596.94</v>
      </c>
      <c r="AO53" s="210">
        <v>113644.9</v>
      </c>
    </row>
    <row r="54" spans="1:41" ht="12.75">
      <c r="A54" s="33" t="s">
        <v>27</v>
      </c>
      <c r="B54" s="110">
        <v>1333768.06</v>
      </c>
      <c r="C54" s="111">
        <v>218591.65</v>
      </c>
      <c r="D54" s="110">
        <v>1481111.13</v>
      </c>
      <c r="E54" s="111">
        <v>213450.82</v>
      </c>
      <c r="F54" s="110">
        <v>2538814.35</v>
      </c>
      <c r="G54" s="111">
        <v>193970.35</v>
      </c>
      <c r="H54" s="110">
        <v>2853286.74</v>
      </c>
      <c r="I54" s="111">
        <v>154308.8</v>
      </c>
      <c r="J54" s="110">
        <v>3101544.07</v>
      </c>
      <c r="K54" s="111">
        <v>105841.96</v>
      </c>
      <c r="L54" s="110">
        <v>3370875.95</v>
      </c>
      <c r="M54" s="111">
        <v>47011.64</v>
      </c>
      <c r="N54" s="110">
        <v>340498.75999996514</v>
      </c>
      <c r="O54" s="111">
        <v>973.9</v>
      </c>
      <c r="P54" s="110">
        <v>0</v>
      </c>
      <c r="Q54" s="111">
        <v>0</v>
      </c>
      <c r="R54" s="110">
        <v>0</v>
      </c>
      <c r="S54" s="111">
        <v>0</v>
      </c>
      <c r="T54" s="110">
        <v>0</v>
      </c>
      <c r="U54" s="111">
        <v>0</v>
      </c>
      <c r="V54" s="110">
        <v>0</v>
      </c>
      <c r="W54" s="111">
        <v>0</v>
      </c>
      <c r="X54" s="110">
        <v>0</v>
      </c>
      <c r="Y54" s="111">
        <v>0</v>
      </c>
      <c r="Z54" s="110">
        <v>0</v>
      </c>
      <c r="AA54" s="111">
        <v>0</v>
      </c>
      <c r="AB54" s="110">
        <v>0</v>
      </c>
      <c r="AC54" s="111">
        <v>0</v>
      </c>
      <c r="AD54" s="110">
        <v>0</v>
      </c>
      <c r="AE54" s="111">
        <v>0</v>
      </c>
      <c r="AF54" s="110">
        <v>0</v>
      </c>
      <c r="AG54" s="111">
        <v>0</v>
      </c>
      <c r="AH54" s="110">
        <v>0</v>
      </c>
      <c r="AI54" s="111">
        <v>0</v>
      </c>
      <c r="AJ54" s="110">
        <v>0</v>
      </c>
      <c r="AK54" s="111">
        <v>0</v>
      </c>
      <c r="AL54" s="110">
        <v>0</v>
      </c>
      <c r="AM54" s="111">
        <v>0</v>
      </c>
      <c r="AN54" s="106">
        <v>15019899.059999963</v>
      </c>
      <c r="AO54" s="107">
        <v>934149.12</v>
      </c>
    </row>
    <row r="55" spans="1:41" ht="12.75" hidden="1">
      <c r="A55" s="34" t="s">
        <v>22</v>
      </c>
      <c r="B55" s="108">
        <v>0</v>
      </c>
      <c r="C55" s="109">
        <v>0</v>
      </c>
      <c r="D55" s="182"/>
      <c r="E55" s="183"/>
      <c r="F55" s="182"/>
      <c r="G55" s="183"/>
      <c r="H55" s="182"/>
      <c r="I55" s="183"/>
      <c r="J55" s="182"/>
      <c r="K55" s="183"/>
      <c r="L55" s="182"/>
      <c r="M55" s="183"/>
      <c r="N55" s="182"/>
      <c r="O55" s="183"/>
      <c r="P55" s="182"/>
      <c r="Q55" s="183"/>
      <c r="R55" s="182"/>
      <c r="S55" s="183"/>
      <c r="T55" s="182"/>
      <c r="U55" s="183"/>
      <c r="V55" s="182"/>
      <c r="W55" s="183"/>
      <c r="X55" s="182"/>
      <c r="Y55" s="183"/>
      <c r="Z55" s="182"/>
      <c r="AA55" s="183"/>
      <c r="AB55" s="182"/>
      <c r="AC55" s="183"/>
      <c r="AD55" s="182"/>
      <c r="AE55" s="183"/>
      <c r="AF55" s="182"/>
      <c r="AG55" s="183"/>
      <c r="AH55" s="182"/>
      <c r="AI55" s="183"/>
      <c r="AJ55" s="182"/>
      <c r="AK55" s="183"/>
      <c r="AL55" s="182"/>
      <c r="AM55" s="183"/>
      <c r="AN55" s="209">
        <v>0</v>
      </c>
      <c r="AO55" s="210">
        <v>0</v>
      </c>
    </row>
    <row r="56" spans="1:41" ht="12.75">
      <c r="A56" s="34" t="s">
        <v>128</v>
      </c>
      <c r="B56" s="108">
        <v>1255732.84</v>
      </c>
      <c r="C56" s="109">
        <v>205802.42</v>
      </c>
      <c r="D56" s="108">
        <v>1394455.3</v>
      </c>
      <c r="E56" s="109">
        <v>200949.03</v>
      </c>
      <c r="F56" s="108">
        <v>2423799.06</v>
      </c>
      <c r="G56" s="109">
        <v>182320.35</v>
      </c>
      <c r="H56" s="108">
        <v>2728161.84</v>
      </c>
      <c r="I56" s="109">
        <v>144141.89</v>
      </c>
      <c r="J56" s="108">
        <v>2968127.27</v>
      </c>
      <c r="K56" s="109">
        <v>97471.96</v>
      </c>
      <c r="L56" s="108">
        <v>3229199.59</v>
      </c>
      <c r="M56" s="109">
        <v>40823.32</v>
      </c>
      <c r="N56" s="108">
        <v>327571.1299999658</v>
      </c>
      <c r="O56" s="109">
        <v>558.49</v>
      </c>
      <c r="P56" s="182"/>
      <c r="Q56" s="183"/>
      <c r="R56" s="182"/>
      <c r="S56" s="183"/>
      <c r="T56" s="182"/>
      <c r="U56" s="183"/>
      <c r="V56" s="182"/>
      <c r="W56" s="183"/>
      <c r="X56" s="182"/>
      <c r="Y56" s="183"/>
      <c r="Z56" s="182"/>
      <c r="AA56" s="183"/>
      <c r="AB56" s="182"/>
      <c r="AC56" s="183"/>
      <c r="AD56" s="182"/>
      <c r="AE56" s="183"/>
      <c r="AF56" s="182"/>
      <c r="AG56" s="183"/>
      <c r="AH56" s="182"/>
      <c r="AI56" s="183"/>
      <c r="AJ56" s="182"/>
      <c r="AK56" s="183"/>
      <c r="AL56" s="182"/>
      <c r="AM56" s="183"/>
      <c r="AN56" s="209">
        <v>14327047.029999966</v>
      </c>
      <c r="AO56" s="210">
        <v>872067.46</v>
      </c>
    </row>
    <row r="57" spans="1:41" ht="12.75">
      <c r="A57" s="34" t="s">
        <v>95</v>
      </c>
      <c r="B57" s="108">
        <v>78035.22</v>
      </c>
      <c r="C57" s="109">
        <v>12789.23</v>
      </c>
      <c r="D57" s="108">
        <v>86655.83</v>
      </c>
      <c r="E57" s="109">
        <v>12501.79</v>
      </c>
      <c r="F57" s="108">
        <v>115015.29</v>
      </c>
      <c r="G57" s="109">
        <v>11650</v>
      </c>
      <c r="H57" s="108">
        <v>125124.9</v>
      </c>
      <c r="I57" s="109">
        <v>10166.91</v>
      </c>
      <c r="J57" s="108">
        <v>133416.8</v>
      </c>
      <c r="K57" s="109">
        <v>8370</v>
      </c>
      <c r="L57" s="108">
        <v>141676.36</v>
      </c>
      <c r="M57" s="109">
        <v>6188.32</v>
      </c>
      <c r="N57" s="108">
        <v>12927.629999999373</v>
      </c>
      <c r="O57" s="109">
        <v>415.41</v>
      </c>
      <c r="P57" s="182"/>
      <c r="Q57" s="183"/>
      <c r="R57" s="182"/>
      <c r="S57" s="183"/>
      <c r="T57" s="182"/>
      <c r="U57" s="183"/>
      <c r="V57" s="182"/>
      <c r="W57" s="183"/>
      <c r="X57" s="182"/>
      <c r="Y57" s="183"/>
      <c r="Z57" s="182"/>
      <c r="AA57" s="183"/>
      <c r="AB57" s="182"/>
      <c r="AC57" s="183"/>
      <c r="AD57" s="182"/>
      <c r="AE57" s="183"/>
      <c r="AF57" s="182"/>
      <c r="AG57" s="183"/>
      <c r="AH57" s="182"/>
      <c r="AI57" s="183"/>
      <c r="AJ57" s="182"/>
      <c r="AK57" s="183"/>
      <c r="AL57" s="182"/>
      <c r="AM57" s="183"/>
      <c r="AN57" s="209">
        <v>692852.0299999994</v>
      </c>
      <c r="AO57" s="210">
        <v>62081.66</v>
      </c>
    </row>
    <row r="58" spans="1:41" ht="12.75">
      <c r="A58" s="134" t="s">
        <v>207</v>
      </c>
      <c r="B58" s="110">
        <v>9447170.129999999</v>
      </c>
      <c r="C58" s="111">
        <v>5359570.994109589</v>
      </c>
      <c r="D58" s="110">
        <v>10979906.07</v>
      </c>
      <c r="E58" s="111">
        <v>3901467.96</v>
      </c>
      <c r="F58" s="110">
        <v>6612422.59</v>
      </c>
      <c r="G58" s="111">
        <v>2533793.63</v>
      </c>
      <c r="H58" s="110">
        <v>6269391.23</v>
      </c>
      <c r="I58" s="111">
        <v>1533830.52</v>
      </c>
      <c r="J58" s="110">
        <v>5454966.3</v>
      </c>
      <c r="K58" s="111">
        <v>544619.62</v>
      </c>
      <c r="L58" s="110">
        <v>424839.49</v>
      </c>
      <c r="M58" s="111">
        <v>9582.61</v>
      </c>
      <c r="N58" s="110">
        <v>0</v>
      </c>
      <c r="O58" s="111">
        <v>0</v>
      </c>
      <c r="P58" s="110">
        <v>0</v>
      </c>
      <c r="Q58" s="111">
        <v>0</v>
      </c>
      <c r="R58" s="110">
        <v>0</v>
      </c>
      <c r="S58" s="111">
        <v>0</v>
      </c>
      <c r="T58" s="110">
        <v>0</v>
      </c>
      <c r="U58" s="111">
        <v>0</v>
      </c>
      <c r="V58" s="110">
        <v>0</v>
      </c>
      <c r="W58" s="111">
        <v>0</v>
      </c>
      <c r="X58" s="110">
        <v>0</v>
      </c>
      <c r="Y58" s="111">
        <v>0</v>
      </c>
      <c r="Z58" s="110">
        <v>0</v>
      </c>
      <c r="AA58" s="111">
        <v>0</v>
      </c>
      <c r="AB58" s="110">
        <v>0</v>
      </c>
      <c r="AC58" s="111">
        <v>0</v>
      </c>
      <c r="AD58" s="110">
        <v>0</v>
      </c>
      <c r="AE58" s="111">
        <v>0</v>
      </c>
      <c r="AF58" s="110">
        <v>0</v>
      </c>
      <c r="AG58" s="111">
        <v>0</v>
      </c>
      <c r="AH58" s="110">
        <v>0</v>
      </c>
      <c r="AI58" s="111">
        <v>0</v>
      </c>
      <c r="AJ58" s="110">
        <v>0</v>
      </c>
      <c r="AK58" s="111">
        <v>0</v>
      </c>
      <c r="AL58" s="110">
        <v>0</v>
      </c>
      <c r="AM58" s="111">
        <v>0</v>
      </c>
      <c r="AN58" s="106">
        <v>39188695.81</v>
      </c>
      <c r="AO58" s="107">
        <v>13882865.334109586</v>
      </c>
    </row>
    <row r="59" spans="1:41" ht="12.75" hidden="1">
      <c r="A59" s="34" t="s">
        <v>21</v>
      </c>
      <c r="B59" s="108"/>
      <c r="C59" s="109"/>
      <c r="D59" s="108"/>
      <c r="E59" s="109"/>
      <c r="F59" s="380"/>
      <c r="G59" s="381"/>
      <c r="H59" s="380"/>
      <c r="I59" s="381"/>
      <c r="J59" s="380"/>
      <c r="K59" s="381"/>
      <c r="L59" s="380"/>
      <c r="M59" s="381"/>
      <c r="N59" s="380"/>
      <c r="O59" s="381"/>
      <c r="P59" s="380"/>
      <c r="Q59" s="381"/>
      <c r="R59" s="380"/>
      <c r="S59" s="381"/>
      <c r="T59" s="380"/>
      <c r="U59" s="381"/>
      <c r="V59" s="380"/>
      <c r="W59" s="381"/>
      <c r="X59" s="380"/>
      <c r="Y59" s="381"/>
      <c r="Z59" s="380"/>
      <c r="AA59" s="381"/>
      <c r="AB59" s="380"/>
      <c r="AC59" s="381"/>
      <c r="AD59" s="380"/>
      <c r="AE59" s="381"/>
      <c r="AF59" s="380"/>
      <c r="AG59" s="381"/>
      <c r="AH59" s="380"/>
      <c r="AI59" s="381"/>
      <c r="AJ59" s="380"/>
      <c r="AK59" s="381"/>
      <c r="AL59" s="380"/>
      <c r="AM59" s="381"/>
      <c r="AN59" s="209">
        <v>0</v>
      </c>
      <c r="AO59" s="210">
        <v>0</v>
      </c>
    </row>
    <row r="60" spans="1:41" ht="12.75">
      <c r="A60" s="34" t="s">
        <v>22</v>
      </c>
      <c r="B60" s="108">
        <v>1761680.31</v>
      </c>
      <c r="C60" s="109">
        <v>319044.93</v>
      </c>
      <c r="D60" s="108">
        <v>992951.06</v>
      </c>
      <c r="E60" s="109">
        <v>47411.55</v>
      </c>
      <c r="F60" s="182"/>
      <c r="G60" s="183"/>
      <c r="H60" s="182"/>
      <c r="I60" s="183"/>
      <c r="J60" s="182"/>
      <c r="K60" s="183"/>
      <c r="L60" s="182"/>
      <c r="M60" s="183"/>
      <c r="N60" s="182"/>
      <c r="O60" s="183"/>
      <c r="P60" s="182"/>
      <c r="Q60" s="183"/>
      <c r="R60" s="182"/>
      <c r="S60" s="183"/>
      <c r="T60" s="182"/>
      <c r="U60" s="183"/>
      <c r="V60" s="182"/>
      <c r="W60" s="183"/>
      <c r="X60" s="182"/>
      <c r="Y60" s="183"/>
      <c r="Z60" s="182"/>
      <c r="AA60" s="183"/>
      <c r="AB60" s="182"/>
      <c r="AC60" s="183"/>
      <c r="AD60" s="182"/>
      <c r="AE60" s="183"/>
      <c r="AF60" s="182"/>
      <c r="AG60" s="183"/>
      <c r="AH60" s="182"/>
      <c r="AI60" s="183"/>
      <c r="AJ60" s="182"/>
      <c r="AK60" s="183"/>
      <c r="AL60" s="182"/>
      <c r="AM60" s="183"/>
      <c r="AN60" s="209">
        <v>2754631.37</v>
      </c>
      <c r="AO60" s="210">
        <v>366456.48</v>
      </c>
    </row>
    <row r="61" spans="1:41" ht="12.75">
      <c r="A61" s="34" t="s">
        <v>126</v>
      </c>
      <c r="B61" s="108">
        <v>397681.01</v>
      </c>
      <c r="C61" s="109">
        <v>1193464.56</v>
      </c>
      <c r="D61" s="108">
        <v>1345543.49</v>
      </c>
      <c r="E61" s="109">
        <v>1260989.1</v>
      </c>
      <c r="F61" s="278">
        <v>1608756.24</v>
      </c>
      <c r="G61" s="279">
        <v>997776.35</v>
      </c>
      <c r="H61" s="278">
        <v>1923458.2</v>
      </c>
      <c r="I61" s="279">
        <v>683074.39</v>
      </c>
      <c r="J61" s="278">
        <v>2299721.57</v>
      </c>
      <c r="K61" s="279">
        <v>306811.02</v>
      </c>
      <c r="L61" s="278">
        <v>424839.49</v>
      </c>
      <c r="M61" s="279">
        <v>9582.61</v>
      </c>
      <c r="N61" s="182"/>
      <c r="O61" s="183"/>
      <c r="P61" s="182"/>
      <c r="Q61" s="183"/>
      <c r="R61" s="182"/>
      <c r="S61" s="183"/>
      <c r="T61" s="182"/>
      <c r="U61" s="183"/>
      <c r="V61" s="182"/>
      <c r="W61" s="183"/>
      <c r="X61" s="182"/>
      <c r="Y61" s="183"/>
      <c r="Z61" s="182"/>
      <c r="AA61" s="183"/>
      <c r="AB61" s="182"/>
      <c r="AC61" s="183"/>
      <c r="AD61" s="182"/>
      <c r="AE61" s="183"/>
      <c r="AF61" s="182"/>
      <c r="AG61" s="183"/>
      <c r="AH61" s="182"/>
      <c r="AI61" s="183"/>
      <c r="AJ61" s="182"/>
      <c r="AK61" s="183"/>
      <c r="AL61" s="182"/>
      <c r="AM61" s="183"/>
      <c r="AN61" s="209">
        <v>8000000</v>
      </c>
      <c r="AO61" s="210">
        <v>4451698.03</v>
      </c>
    </row>
    <row r="62" spans="1:41" ht="12.75">
      <c r="A62" s="34" t="s">
        <v>84</v>
      </c>
      <c r="B62" s="108">
        <v>3144830.17</v>
      </c>
      <c r="C62" s="109">
        <v>708627.97</v>
      </c>
      <c r="D62" s="108">
        <v>3001882.86</v>
      </c>
      <c r="E62" s="109">
        <v>209332.3</v>
      </c>
      <c r="F62" s="182"/>
      <c r="G62" s="183"/>
      <c r="H62" s="182"/>
      <c r="I62" s="183"/>
      <c r="J62" s="182"/>
      <c r="K62" s="183"/>
      <c r="L62" s="182"/>
      <c r="M62" s="183"/>
      <c r="N62" s="182"/>
      <c r="O62" s="183"/>
      <c r="P62" s="182"/>
      <c r="Q62" s="183"/>
      <c r="R62" s="182"/>
      <c r="S62" s="183"/>
      <c r="T62" s="182"/>
      <c r="U62" s="183"/>
      <c r="V62" s="182"/>
      <c r="W62" s="183"/>
      <c r="X62" s="182"/>
      <c r="Y62" s="183"/>
      <c r="Z62" s="182"/>
      <c r="AA62" s="183"/>
      <c r="AB62" s="182"/>
      <c r="AC62" s="183"/>
      <c r="AD62" s="182"/>
      <c r="AE62" s="183"/>
      <c r="AF62" s="182"/>
      <c r="AG62" s="183"/>
      <c r="AH62" s="182"/>
      <c r="AI62" s="183"/>
      <c r="AJ62" s="182"/>
      <c r="AK62" s="183"/>
      <c r="AL62" s="182"/>
      <c r="AM62" s="183"/>
      <c r="AN62" s="209">
        <v>6146713.03</v>
      </c>
      <c r="AO62" s="210">
        <v>917960.27</v>
      </c>
    </row>
    <row r="63" spans="1:41" ht="12.75">
      <c r="A63" s="34" t="s">
        <v>23</v>
      </c>
      <c r="B63" s="108">
        <v>766872.98</v>
      </c>
      <c r="C63" s="109">
        <v>161221.72</v>
      </c>
      <c r="D63" s="108">
        <v>862726.27</v>
      </c>
      <c r="E63" s="109">
        <v>65368.41</v>
      </c>
      <c r="F63" s="108">
        <v>76585.85</v>
      </c>
      <c r="G63" s="109">
        <v>755.38</v>
      </c>
      <c r="H63" s="182"/>
      <c r="I63" s="183"/>
      <c r="J63" s="182"/>
      <c r="K63" s="183"/>
      <c r="L63" s="182"/>
      <c r="M63" s="183"/>
      <c r="N63" s="182"/>
      <c r="O63" s="183"/>
      <c r="P63" s="182"/>
      <c r="Q63" s="183"/>
      <c r="R63" s="182"/>
      <c r="S63" s="183"/>
      <c r="T63" s="182"/>
      <c r="U63" s="183"/>
      <c r="V63" s="182"/>
      <c r="W63" s="183"/>
      <c r="X63" s="182"/>
      <c r="Y63" s="183"/>
      <c r="Z63" s="182"/>
      <c r="AA63" s="183"/>
      <c r="AB63" s="182"/>
      <c r="AC63" s="183"/>
      <c r="AD63" s="182"/>
      <c r="AE63" s="183"/>
      <c r="AF63" s="182"/>
      <c r="AG63" s="183"/>
      <c r="AH63" s="182"/>
      <c r="AI63" s="183"/>
      <c r="AJ63" s="182"/>
      <c r="AK63" s="183"/>
      <c r="AL63" s="182"/>
      <c r="AM63" s="183"/>
      <c r="AN63" s="209">
        <v>1706185.1</v>
      </c>
      <c r="AO63" s="210">
        <v>227345.51</v>
      </c>
    </row>
    <row r="64" spans="1:41" ht="12.75">
      <c r="A64" s="34" t="s">
        <v>105</v>
      </c>
      <c r="B64" s="108">
        <v>1085640.71</v>
      </c>
      <c r="C64" s="109">
        <v>1724502.794109589</v>
      </c>
      <c r="D64" s="108">
        <v>2100677.92</v>
      </c>
      <c r="E64" s="109">
        <v>1451317.11</v>
      </c>
      <c r="F64" s="278">
        <v>2445907.87</v>
      </c>
      <c r="G64" s="279">
        <v>1106087.16</v>
      </c>
      <c r="H64" s="278">
        <v>2847873.66</v>
      </c>
      <c r="I64" s="279">
        <v>704121.34</v>
      </c>
      <c r="J64" s="278">
        <v>3019899.84</v>
      </c>
      <c r="K64" s="279">
        <v>236095.64</v>
      </c>
      <c r="L64" s="182"/>
      <c r="M64" s="183"/>
      <c r="N64" s="182"/>
      <c r="O64" s="183"/>
      <c r="P64" s="182"/>
      <c r="Q64" s="183"/>
      <c r="R64" s="182"/>
      <c r="S64" s="183"/>
      <c r="T64" s="182"/>
      <c r="U64" s="183"/>
      <c r="V64" s="182"/>
      <c r="W64" s="183"/>
      <c r="X64" s="182"/>
      <c r="Y64" s="183"/>
      <c r="Z64" s="182"/>
      <c r="AA64" s="183"/>
      <c r="AB64" s="182"/>
      <c r="AC64" s="183"/>
      <c r="AD64" s="182"/>
      <c r="AE64" s="183"/>
      <c r="AF64" s="182"/>
      <c r="AG64" s="183"/>
      <c r="AH64" s="182"/>
      <c r="AI64" s="183"/>
      <c r="AJ64" s="182"/>
      <c r="AK64" s="183"/>
      <c r="AL64" s="182"/>
      <c r="AM64" s="183"/>
      <c r="AN64" s="209">
        <v>11500000</v>
      </c>
      <c r="AO64" s="210">
        <v>5222124.0441095885</v>
      </c>
    </row>
    <row r="65" spans="1:41" ht="12.75" hidden="1">
      <c r="A65" s="34" t="s">
        <v>4</v>
      </c>
      <c r="B65" s="182"/>
      <c r="C65" s="183"/>
      <c r="D65" s="182"/>
      <c r="E65" s="183"/>
      <c r="F65" s="182"/>
      <c r="G65" s="183"/>
      <c r="H65" s="182"/>
      <c r="I65" s="183"/>
      <c r="J65" s="182"/>
      <c r="K65" s="183"/>
      <c r="L65" s="182"/>
      <c r="M65" s="183"/>
      <c r="N65" s="182"/>
      <c r="O65" s="183"/>
      <c r="P65" s="182"/>
      <c r="Q65" s="183"/>
      <c r="R65" s="182"/>
      <c r="S65" s="183"/>
      <c r="T65" s="182"/>
      <c r="U65" s="183"/>
      <c r="V65" s="182"/>
      <c r="W65" s="183"/>
      <c r="X65" s="182"/>
      <c r="Y65" s="183"/>
      <c r="Z65" s="182"/>
      <c r="AA65" s="183"/>
      <c r="AB65" s="182"/>
      <c r="AC65" s="183"/>
      <c r="AD65" s="182"/>
      <c r="AE65" s="183"/>
      <c r="AF65" s="182"/>
      <c r="AG65" s="183"/>
      <c r="AH65" s="182"/>
      <c r="AI65" s="183"/>
      <c r="AJ65" s="182"/>
      <c r="AK65" s="183"/>
      <c r="AL65" s="182"/>
      <c r="AM65" s="183"/>
      <c r="AN65" s="209">
        <v>0</v>
      </c>
      <c r="AO65" s="210">
        <v>0</v>
      </c>
    </row>
    <row r="66" spans="1:41" ht="12.75">
      <c r="A66" s="34" t="s">
        <v>4</v>
      </c>
      <c r="B66" s="278">
        <v>1337898.41</v>
      </c>
      <c r="C66" s="279">
        <v>560581.38</v>
      </c>
      <c r="D66" s="278">
        <v>1568379.23</v>
      </c>
      <c r="E66" s="279">
        <v>330100.55</v>
      </c>
      <c r="F66" s="278">
        <v>1192969.17</v>
      </c>
      <c r="G66" s="279">
        <v>72684.03</v>
      </c>
      <c r="H66" s="182"/>
      <c r="I66" s="183"/>
      <c r="J66" s="182"/>
      <c r="K66" s="183"/>
      <c r="L66" s="182"/>
      <c r="M66" s="183"/>
      <c r="N66" s="182"/>
      <c r="O66" s="183"/>
      <c r="P66" s="182"/>
      <c r="Q66" s="183"/>
      <c r="R66" s="182"/>
      <c r="S66" s="183"/>
      <c r="T66" s="182"/>
      <c r="U66" s="183"/>
      <c r="V66" s="182"/>
      <c r="W66" s="183"/>
      <c r="X66" s="182"/>
      <c r="Y66" s="183"/>
      <c r="Z66" s="182"/>
      <c r="AA66" s="183"/>
      <c r="AB66" s="182"/>
      <c r="AC66" s="183"/>
      <c r="AD66" s="182"/>
      <c r="AE66" s="183"/>
      <c r="AF66" s="182"/>
      <c r="AG66" s="183"/>
      <c r="AH66" s="182"/>
      <c r="AI66" s="183"/>
      <c r="AJ66" s="182"/>
      <c r="AK66" s="183"/>
      <c r="AL66" s="182"/>
      <c r="AM66" s="183"/>
      <c r="AN66" s="209">
        <v>4099246.81</v>
      </c>
      <c r="AO66" s="210">
        <v>963365.96</v>
      </c>
    </row>
    <row r="67" spans="1:41" ht="12.75">
      <c r="A67" s="34" t="s">
        <v>10</v>
      </c>
      <c r="B67" s="108">
        <v>952566.54</v>
      </c>
      <c r="C67" s="109">
        <v>692127.64</v>
      </c>
      <c r="D67" s="108">
        <v>1107745.24</v>
      </c>
      <c r="E67" s="109">
        <v>536948.94</v>
      </c>
      <c r="F67" s="278">
        <v>1288203.46</v>
      </c>
      <c r="G67" s="279">
        <v>356490.71</v>
      </c>
      <c r="H67" s="278">
        <v>1498059.37</v>
      </c>
      <c r="I67" s="279">
        <v>146634.79</v>
      </c>
      <c r="J67" s="278">
        <v>135344.89</v>
      </c>
      <c r="K67" s="279">
        <v>1712.96</v>
      </c>
      <c r="L67" s="182"/>
      <c r="M67" s="183"/>
      <c r="N67" s="182"/>
      <c r="O67" s="183"/>
      <c r="P67" s="182"/>
      <c r="Q67" s="183"/>
      <c r="R67" s="182"/>
      <c r="S67" s="183"/>
      <c r="T67" s="182"/>
      <c r="U67" s="183"/>
      <c r="V67" s="182"/>
      <c r="W67" s="183"/>
      <c r="X67" s="182"/>
      <c r="Y67" s="183"/>
      <c r="Z67" s="182"/>
      <c r="AA67" s="183"/>
      <c r="AB67" s="182"/>
      <c r="AC67" s="183"/>
      <c r="AD67" s="182"/>
      <c r="AE67" s="183"/>
      <c r="AF67" s="182"/>
      <c r="AG67" s="183"/>
      <c r="AH67" s="182"/>
      <c r="AI67" s="183"/>
      <c r="AJ67" s="182"/>
      <c r="AK67" s="183"/>
      <c r="AL67" s="182"/>
      <c r="AM67" s="183"/>
      <c r="AN67" s="209">
        <v>4981919.5</v>
      </c>
      <c r="AO67" s="210">
        <v>1733915.04</v>
      </c>
    </row>
    <row r="68" spans="1:41" ht="12.75">
      <c r="A68" s="134" t="s">
        <v>130</v>
      </c>
      <c r="B68" s="110">
        <v>1406545.92</v>
      </c>
      <c r="C68" s="111">
        <v>811941.13</v>
      </c>
      <c r="D68" s="110">
        <v>1406887.09</v>
      </c>
      <c r="E68" s="111">
        <v>725562.22</v>
      </c>
      <c r="F68" s="110">
        <v>603151.2</v>
      </c>
      <c r="G68" s="111">
        <v>663300.61</v>
      </c>
      <c r="H68" s="110">
        <v>603151.2</v>
      </c>
      <c r="I68" s="111">
        <v>627111.52</v>
      </c>
      <c r="J68" s="110">
        <v>603151.2</v>
      </c>
      <c r="K68" s="111">
        <v>592578.83</v>
      </c>
      <c r="L68" s="110">
        <v>603151.2</v>
      </c>
      <c r="M68" s="111">
        <v>554733.38</v>
      </c>
      <c r="N68" s="110">
        <v>603151.2</v>
      </c>
      <c r="O68" s="111">
        <v>518544.34</v>
      </c>
      <c r="P68" s="110">
        <v>603151.2</v>
      </c>
      <c r="Q68" s="111">
        <v>482355.23</v>
      </c>
      <c r="R68" s="110">
        <v>603151.2</v>
      </c>
      <c r="S68" s="111">
        <v>447425.95</v>
      </c>
      <c r="T68" s="110">
        <v>603151.2</v>
      </c>
      <c r="U68" s="111">
        <v>409977.1</v>
      </c>
      <c r="V68" s="110">
        <v>603151.2</v>
      </c>
      <c r="W68" s="111">
        <v>373788.04</v>
      </c>
      <c r="X68" s="110">
        <v>603151.2</v>
      </c>
      <c r="Y68" s="111">
        <v>337598.96</v>
      </c>
      <c r="Z68" s="110">
        <v>603151.2</v>
      </c>
      <c r="AA68" s="111">
        <v>302273.06</v>
      </c>
      <c r="AB68" s="110">
        <v>603151.2</v>
      </c>
      <c r="AC68" s="111">
        <v>265220.82</v>
      </c>
      <c r="AD68" s="110">
        <v>603151.2</v>
      </c>
      <c r="AE68" s="111">
        <v>229031.74</v>
      </c>
      <c r="AF68" s="110">
        <v>603151.2</v>
      </c>
      <c r="AG68" s="111">
        <v>192842.68</v>
      </c>
      <c r="AH68" s="110">
        <v>603151.2</v>
      </c>
      <c r="AI68" s="111">
        <v>157120.17</v>
      </c>
      <c r="AJ68" s="110">
        <v>603151.2</v>
      </c>
      <c r="AK68" s="111">
        <v>120464.52</v>
      </c>
      <c r="AL68" s="110">
        <v>1682343.4000000523</v>
      </c>
      <c r="AM68" s="111">
        <v>84275.46</v>
      </c>
      <c r="AN68" s="106">
        <v>14146195.610000048</v>
      </c>
      <c r="AO68" s="107">
        <v>7896145.76</v>
      </c>
    </row>
    <row r="69" spans="1:41" ht="12.75">
      <c r="A69" s="34" t="s">
        <v>126</v>
      </c>
      <c r="B69" s="108">
        <v>675545.82</v>
      </c>
      <c r="C69" s="109">
        <v>62400.06</v>
      </c>
      <c r="D69" s="108">
        <v>675832.7</v>
      </c>
      <c r="E69" s="109">
        <v>21969.12</v>
      </c>
      <c r="F69" s="182"/>
      <c r="G69" s="183"/>
      <c r="H69" s="182"/>
      <c r="I69" s="183"/>
      <c r="J69" s="182"/>
      <c r="K69" s="183"/>
      <c r="L69" s="182"/>
      <c r="M69" s="183"/>
      <c r="N69" s="182"/>
      <c r="O69" s="183"/>
      <c r="P69" s="182"/>
      <c r="Q69" s="183"/>
      <c r="R69" s="182"/>
      <c r="S69" s="183"/>
      <c r="T69" s="182"/>
      <c r="U69" s="183"/>
      <c r="V69" s="182"/>
      <c r="W69" s="183"/>
      <c r="X69" s="182"/>
      <c r="Y69" s="183"/>
      <c r="Z69" s="182"/>
      <c r="AA69" s="183"/>
      <c r="AB69" s="182"/>
      <c r="AC69" s="183"/>
      <c r="AD69" s="182"/>
      <c r="AE69" s="183"/>
      <c r="AF69" s="182"/>
      <c r="AG69" s="183"/>
      <c r="AH69" s="182"/>
      <c r="AI69" s="183"/>
      <c r="AJ69" s="182"/>
      <c r="AK69" s="183"/>
      <c r="AL69" s="182"/>
      <c r="AM69" s="183"/>
      <c r="AN69" s="209">
        <v>1351378.52</v>
      </c>
      <c r="AO69" s="210">
        <v>84369.18</v>
      </c>
    </row>
    <row r="70" spans="1:41" ht="12.75">
      <c r="A70" s="34" t="s">
        <v>10</v>
      </c>
      <c r="B70" s="108">
        <v>127848.9</v>
      </c>
      <c r="C70" s="109">
        <v>11809.38</v>
      </c>
      <c r="D70" s="108">
        <v>127903.19</v>
      </c>
      <c r="E70" s="109">
        <v>4103.42</v>
      </c>
      <c r="F70" s="182"/>
      <c r="G70" s="183"/>
      <c r="H70" s="182"/>
      <c r="I70" s="183"/>
      <c r="J70" s="182"/>
      <c r="K70" s="183"/>
      <c r="L70" s="182"/>
      <c r="M70" s="183"/>
      <c r="N70" s="182"/>
      <c r="O70" s="183"/>
      <c r="P70" s="182"/>
      <c r="Q70" s="183"/>
      <c r="R70" s="182"/>
      <c r="S70" s="183"/>
      <c r="T70" s="182"/>
      <c r="U70" s="183"/>
      <c r="V70" s="182"/>
      <c r="W70" s="183"/>
      <c r="X70" s="182"/>
      <c r="Y70" s="183"/>
      <c r="Z70" s="182"/>
      <c r="AA70" s="183"/>
      <c r="AB70" s="182"/>
      <c r="AC70" s="183"/>
      <c r="AD70" s="182"/>
      <c r="AE70" s="183"/>
      <c r="AF70" s="182"/>
      <c r="AG70" s="183"/>
      <c r="AH70" s="182"/>
      <c r="AI70" s="183"/>
      <c r="AJ70" s="182"/>
      <c r="AK70" s="183"/>
      <c r="AL70" s="182"/>
      <c r="AM70" s="183"/>
      <c r="AN70" s="209">
        <v>255752.09</v>
      </c>
      <c r="AO70" s="210">
        <v>15912.8</v>
      </c>
    </row>
    <row r="71" spans="1:41" ht="12.75">
      <c r="A71" s="485" t="s">
        <v>22</v>
      </c>
      <c r="B71" s="108">
        <v>603151.2</v>
      </c>
      <c r="C71" s="109">
        <v>737731.69</v>
      </c>
      <c r="D71" s="108">
        <v>603151.2</v>
      </c>
      <c r="E71" s="109">
        <v>699489.68</v>
      </c>
      <c r="F71" s="278">
        <v>603151.2</v>
      </c>
      <c r="G71" s="279">
        <v>663300.61</v>
      </c>
      <c r="H71" s="278">
        <v>603151.2</v>
      </c>
      <c r="I71" s="279">
        <v>627111.52</v>
      </c>
      <c r="J71" s="278">
        <v>603151.2</v>
      </c>
      <c r="K71" s="279">
        <v>592578.83</v>
      </c>
      <c r="L71" s="278">
        <v>603151.2</v>
      </c>
      <c r="M71" s="279">
        <v>554733.38</v>
      </c>
      <c r="N71" s="278">
        <v>603151.2</v>
      </c>
      <c r="O71" s="279">
        <v>518544.34</v>
      </c>
      <c r="P71" s="278">
        <v>603151.2</v>
      </c>
      <c r="Q71" s="279">
        <v>482355.23</v>
      </c>
      <c r="R71" s="278">
        <v>603151.2</v>
      </c>
      <c r="S71" s="279">
        <v>447425.95</v>
      </c>
      <c r="T71" s="278">
        <v>603151.2</v>
      </c>
      <c r="U71" s="279">
        <v>409977.1</v>
      </c>
      <c r="V71" s="278">
        <v>603151.2</v>
      </c>
      <c r="W71" s="279">
        <v>373788.04</v>
      </c>
      <c r="X71" s="278">
        <v>603151.2</v>
      </c>
      <c r="Y71" s="279">
        <v>337598.96</v>
      </c>
      <c r="Z71" s="278">
        <v>603151.2</v>
      </c>
      <c r="AA71" s="279">
        <v>302273.06</v>
      </c>
      <c r="AB71" s="278">
        <v>603151.2</v>
      </c>
      <c r="AC71" s="279">
        <v>265220.82</v>
      </c>
      <c r="AD71" s="278">
        <v>603151.2</v>
      </c>
      <c r="AE71" s="279">
        <v>229031.74</v>
      </c>
      <c r="AF71" s="278">
        <v>603151.2</v>
      </c>
      <c r="AG71" s="279">
        <v>192842.68</v>
      </c>
      <c r="AH71" s="278">
        <v>603151.2</v>
      </c>
      <c r="AI71" s="279">
        <v>157120.17</v>
      </c>
      <c r="AJ71" s="278">
        <v>603151.2</v>
      </c>
      <c r="AK71" s="279">
        <v>120464.52</v>
      </c>
      <c r="AL71" s="278">
        <v>1682343.4000000523</v>
      </c>
      <c r="AM71" s="279">
        <v>84275.46</v>
      </c>
      <c r="AN71" s="209">
        <v>12539065.000000048</v>
      </c>
      <c r="AO71" s="210">
        <v>7795863.779999999</v>
      </c>
    </row>
    <row r="72" spans="1:41" ht="12.75" customHeight="1" hidden="1">
      <c r="A72" s="485" t="s">
        <v>8</v>
      </c>
      <c r="B72" s="108"/>
      <c r="C72" s="109"/>
      <c r="D72" s="108"/>
      <c r="E72" s="109"/>
      <c r="F72" s="380"/>
      <c r="G72" s="381"/>
      <c r="H72" s="380"/>
      <c r="I72" s="381"/>
      <c r="J72" s="380"/>
      <c r="K72" s="381"/>
      <c r="L72" s="380"/>
      <c r="M72" s="381"/>
      <c r="N72" s="380"/>
      <c r="O72" s="381"/>
      <c r="P72" s="380"/>
      <c r="Q72" s="381"/>
      <c r="R72" s="380"/>
      <c r="S72" s="381"/>
      <c r="T72" s="380"/>
      <c r="U72" s="381"/>
      <c r="V72" s="380"/>
      <c r="W72" s="381"/>
      <c r="X72" s="380"/>
      <c r="Y72" s="381"/>
      <c r="Z72" s="380"/>
      <c r="AA72" s="381"/>
      <c r="AB72" s="380"/>
      <c r="AC72" s="381"/>
      <c r="AD72" s="380"/>
      <c r="AE72" s="381"/>
      <c r="AF72" s="380"/>
      <c r="AG72" s="381"/>
      <c r="AH72" s="380"/>
      <c r="AI72" s="381"/>
      <c r="AJ72" s="380"/>
      <c r="AK72" s="381"/>
      <c r="AL72" s="380"/>
      <c r="AM72" s="381"/>
      <c r="AN72" s="310">
        <v>0</v>
      </c>
      <c r="AO72" s="311">
        <v>0</v>
      </c>
    </row>
    <row r="73" spans="1:41" ht="12.75" customHeight="1" hidden="1">
      <c r="A73" s="486" t="s">
        <v>11</v>
      </c>
      <c r="B73" s="108"/>
      <c r="C73" s="109"/>
      <c r="D73" s="108"/>
      <c r="E73" s="109"/>
      <c r="F73" s="380"/>
      <c r="G73" s="381"/>
      <c r="H73" s="380"/>
      <c r="I73" s="381"/>
      <c r="J73" s="380"/>
      <c r="K73" s="381"/>
      <c r="L73" s="380"/>
      <c r="M73" s="381"/>
      <c r="N73" s="380"/>
      <c r="O73" s="381"/>
      <c r="P73" s="380"/>
      <c r="Q73" s="381"/>
      <c r="R73" s="380"/>
      <c r="S73" s="381"/>
      <c r="T73" s="380"/>
      <c r="U73" s="381"/>
      <c r="V73" s="380"/>
      <c r="W73" s="381"/>
      <c r="X73" s="380"/>
      <c r="Y73" s="381"/>
      <c r="Z73" s="380"/>
      <c r="AA73" s="381"/>
      <c r="AB73" s="380"/>
      <c r="AC73" s="381"/>
      <c r="AD73" s="380"/>
      <c r="AE73" s="381"/>
      <c r="AF73" s="380"/>
      <c r="AG73" s="381"/>
      <c r="AH73" s="380"/>
      <c r="AI73" s="381"/>
      <c r="AJ73" s="380"/>
      <c r="AK73" s="381"/>
      <c r="AL73" s="380"/>
      <c r="AM73" s="381"/>
      <c r="AN73" s="310">
        <v>0</v>
      </c>
      <c r="AO73" s="311">
        <v>0</v>
      </c>
    </row>
    <row r="74" spans="1:42" ht="12.75">
      <c r="A74" s="134" t="s">
        <v>179</v>
      </c>
      <c r="B74" s="110">
        <v>2392914.4</v>
      </c>
      <c r="C74" s="111">
        <v>2714152.645068493</v>
      </c>
      <c r="D74" s="110">
        <v>4176267.45</v>
      </c>
      <c r="E74" s="111">
        <v>2355195.43</v>
      </c>
      <c r="F74" s="110">
        <v>4657356.9</v>
      </c>
      <c r="G74" s="111">
        <v>1874105.98</v>
      </c>
      <c r="H74" s="110">
        <v>5025795.47</v>
      </c>
      <c r="I74" s="111">
        <v>1335140.75</v>
      </c>
      <c r="J74" s="110">
        <v>5045893.3</v>
      </c>
      <c r="K74" s="111">
        <v>803462.99</v>
      </c>
      <c r="L74" s="110">
        <v>3134981.97</v>
      </c>
      <c r="M74" s="111">
        <v>244615.46</v>
      </c>
      <c r="N74" s="110">
        <v>861360.16</v>
      </c>
      <c r="O74" s="111">
        <v>48478.37</v>
      </c>
      <c r="P74" s="110">
        <v>248529.83</v>
      </c>
      <c r="Q74" s="111">
        <v>1469.93</v>
      </c>
      <c r="R74" s="110">
        <v>118032</v>
      </c>
      <c r="S74" s="111">
        <v>0</v>
      </c>
      <c r="T74" s="110">
        <v>0</v>
      </c>
      <c r="U74" s="111">
        <v>0</v>
      </c>
      <c r="V74" s="110">
        <v>0</v>
      </c>
      <c r="W74" s="111">
        <v>0</v>
      </c>
      <c r="X74" s="110">
        <v>0</v>
      </c>
      <c r="Y74" s="111">
        <v>0</v>
      </c>
      <c r="Z74" s="110">
        <v>0</v>
      </c>
      <c r="AA74" s="111">
        <v>0</v>
      </c>
      <c r="AB74" s="110">
        <v>0</v>
      </c>
      <c r="AC74" s="111">
        <v>0</v>
      </c>
      <c r="AD74" s="110">
        <v>0</v>
      </c>
      <c r="AE74" s="111">
        <v>0</v>
      </c>
      <c r="AF74" s="110">
        <v>0</v>
      </c>
      <c r="AG74" s="111">
        <v>0</v>
      </c>
      <c r="AH74" s="110">
        <v>0</v>
      </c>
      <c r="AI74" s="111">
        <v>0</v>
      </c>
      <c r="AJ74" s="110">
        <v>0</v>
      </c>
      <c r="AK74" s="111">
        <v>0</v>
      </c>
      <c r="AL74" s="110">
        <v>0</v>
      </c>
      <c r="AM74" s="111">
        <v>0</v>
      </c>
      <c r="AN74" s="106">
        <v>25661131.479999997</v>
      </c>
      <c r="AO74" s="107">
        <v>9376621.555068493</v>
      </c>
      <c r="AP74" s="398"/>
    </row>
    <row r="75" spans="1:41" ht="12.75">
      <c r="A75" s="34" t="str">
        <f>+CONDICIONES!B75</f>
        <v>Capital (Supervielle)</v>
      </c>
      <c r="B75" s="108">
        <v>1261350.88</v>
      </c>
      <c r="C75" s="109">
        <v>1664813.7</v>
      </c>
      <c r="D75" s="108">
        <v>2722149.12</v>
      </c>
      <c r="E75" s="109">
        <v>1458552.63</v>
      </c>
      <c r="F75" s="278">
        <v>3011539.53</v>
      </c>
      <c r="G75" s="279">
        <v>1169162.23</v>
      </c>
      <c r="H75" s="278">
        <v>3331694.89</v>
      </c>
      <c r="I75" s="279">
        <v>849006.85</v>
      </c>
      <c r="J75" s="278">
        <v>3685885.82</v>
      </c>
      <c r="K75" s="279">
        <v>494815.92</v>
      </c>
      <c r="L75" s="278">
        <v>1987379.76</v>
      </c>
      <c r="M75" s="279">
        <v>102971.11</v>
      </c>
      <c r="N75" s="182"/>
      <c r="O75" s="183"/>
      <c r="P75" s="182"/>
      <c r="Q75" s="183"/>
      <c r="R75" s="182"/>
      <c r="S75" s="183"/>
      <c r="T75" s="182"/>
      <c r="U75" s="183"/>
      <c r="V75" s="182"/>
      <c r="W75" s="183"/>
      <c r="X75" s="182"/>
      <c r="Y75" s="183"/>
      <c r="Z75" s="182"/>
      <c r="AA75" s="183"/>
      <c r="AB75" s="182"/>
      <c r="AC75" s="183"/>
      <c r="AD75" s="182"/>
      <c r="AE75" s="183"/>
      <c r="AF75" s="182"/>
      <c r="AG75" s="183"/>
      <c r="AH75" s="182"/>
      <c r="AI75" s="183"/>
      <c r="AJ75" s="182"/>
      <c r="AK75" s="183"/>
      <c r="AL75" s="182"/>
      <c r="AM75" s="183"/>
      <c r="AN75" s="209">
        <v>16000000</v>
      </c>
      <c r="AO75" s="210">
        <v>5739322.44</v>
      </c>
    </row>
    <row r="76" spans="1:41" ht="12.75">
      <c r="A76" s="34" t="str">
        <f>+CONDICIONES!B76</f>
        <v>Luján (Credicoop)</v>
      </c>
      <c r="B76" s="108">
        <v>410201.65</v>
      </c>
      <c r="C76" s="109">
        <v>271904.97</v>
      </c>
      <c r="D76" s="108">
        <v>478876.27</v>
      </c>
      <c r="E76" s="109">
        <v>203230.32</v>
      </c>
      <c r="F76" s="278">
        <v>559048.2</v>
      </c>
      <c r="G76" s="279">
        <v>123058.38</v>
      </c>
      <c r="H76" s="278">
        <v>479892.06</v>
      </c>
      <c r="I76" s="279">
        <v>31687.88</v>
      </c>
      <c r="J76" s="182"/>
      <c r="K76" s="183"/>
      <c r="L76" s="182"/>
      <c r="M76" s="183"/>
      <c r="N76" s="182"/>
      <c r="O76" s="183"/>
      <c r="P76" s="182"/>
      <c r="Q76" s="183"/>
      <c r="R76" s="182"/>
      <c r="S76" s="183"/>
      <c r="T76" s="182"/>
      <c r="U76" s="183"/>
      <c r="V76" s="182"/>
      <c r="W76" s="183"/>
      <c r="X76" s="182"/>
      <c r="Y76" s="183"/>
      <c r="Z76" s="182"/>
      <c r="AA76" s="183"/>
      <c r="AB76" s="182"/>
      <c r="AC76" s="183"/>
      <c r="AD76" s="182"/>
      <c r="AE76" s="183"/>
      <c r="AF76" s="182"/>
      <c r="AG76" s="183"/>
      <c r="AH76" s="182"/>
      <c r="AI76" s="183"/>
      <c r="AJ76" s="182"/>
      <c r="AK76" s="183"/>
      <c r="AL76" s="182"/>
      <c r="AM76" s="183"/>
      <c r="AN76" s="209">
        <v>1928018.18</v>
      </c>
      <c r="AO76" s="210">
        <v>629881.55</v>
      </c>
    </row>
    <row r="77" spans="1:41" ht="12.75">
      <c r="A77" s="34" t="str">
        <f>+CONDICIONES!B77</f>
        <v>Maipú (ENOSHA)</v>
      </c>
      <c r="B77" s="108">
        <v>434046.87</v>
      </c>
      <c r="C77" s="109">
        <v>357759.66</v>
      </c>
      <c r="D77" s="108">
        <v>474763.47</v>
      </c>
      <c r="E77" s="109">
        <v>317043.08</v>
      </c>
      <c r="F77" s="108">
        <v>519299.55</v>
      </c>
      <c r="G77" s="109">
        <v>272506.99</v>
      </c>
      <c r="H77" s="108">
        <v>568013.43</v>
      </c>
      <c r="I77" s="109">
        <v>223793.11</v>
      </c>
      <c r="J77" s="108">
        <v>621297.02</v>
      </c>
      <c r="K77" s="109">
        <v>170509.53</v>
      </c>
      <c r="L77" s="108">
        <v>679578.97</v>
      </c>
      <c r="M77" s="109">
        <v>112227.59</v>
      </c>
      <c r="N77" s="108">
        <v>743328.16</v>
      </c>
      <c r="O77" s="109">
        <v>48478.37</v>
      </c>
      <c r="P77" s="108">
        <v>130497.83</v>
      </c>
      <c r="Q77" s="109">
        <v>1469.93</v>
      </c>
      <c r="R77" s="182"/>
      <c r="S77" s="183"/>
      <c r="T77" s="182"/>
      <c r="U77" s="183"/>
      <c r="V77" s="182"/>
      <c r="W77" s="183"/>
      <c r="X77" s="182"/>
      <c r="Y77" s="183"/>
      <c r="Z77" s="182"/>
      <c r="AA77" s="183"/>
      <c r="AB77" s="182"/>
      <c r="AC77" s="183"/>
      <c r="AD77" s="182"/>
      <c r="AE77" s="183"/>
      <c r="AF77" s="182"/>
      <c r="AG77" s="183"/>
      <c r="AH77" s="182"/>
      <c r="AI77" s="183"/>
      <c r="AJ77" s="182"/>
      <c r="AK77" s="183"/>
      <c r="AL77" s="182"/>
      <c r="AM77" s="183"/>
      <c r="AN77" s="209">
        <v>4170825.3</v>
      </c>
      <c r="AO77" s="210">
        <v>1503788.26</v>
      </c>
    </row>
    <row r="78" spans="1:41" ht="12.75">
      <c r="A78" s="34" t="s">
        <v>210</v>
      </c>
      <c r="B78" s="108">
        <v>169283</v>
      </c>
      <c r="C78" s="109">
        <v>419674.31506849313</v>
      </c>
      <c r="D78" s="108">
        <v>382446.59</v>
      </c>
      <c r="E78" s="109">
        <v>376369.4</v>
      </c>
      <c r="F78" s="108">
        <v>449437.62</v>
      </c>
      <c r="G78" s="109">
        <v>309378.38</v>
      </c>
      <c r="H78" s="108">
        <v>528163.09</v>
      </c>
      <c r="I78" s="109">
        <v>230652.91</v>
      </c>
      <c r="J78" s="108">
        <v>620678.46</v>
      </c>
      <c r="K78" s="109">
        <v>138137.54</v>
      </c>
      <c r="L78" s="108">
        <v>349991.24</v>
      </c>
      <c r="M78" s="109">
        <v>29416.76</v>
      </c>
      <c r="N78" s="182"/>
      <c r="O78" s="183"/>
      <c r="P78" s="182"/>
      <c r="Q78" s="183"/>
      <c r="R78" s="182"/>
      <c r="S78" s="183"/>
      <c r="T78" s="182"/>
      <c r="U78" s="183"/>
      <c r="V78" s="182"/>
      <c r="W78" s="183"/>
      <c r="X78" s="182"/>
      <c r="Y78" s="183"/>
      <c r="Z78" s="182"/>
      <c r="AA78" s="183"/>
      <c r="AB78" s="182"/>
      <c r="AC78" s="183"/>
      <c r="AD78" s="182"/>
      <c r="AE78" s="183"/>
      <c r="AF78" s="182"/>
      <c r="AG78" s="183"/>
      <c r="AH78" s="182"/>
      <c r="AI78" s="183"/>
      <c r="AJ78" s="182"/>
      <c r="AK78" s="183"/>
      <c r="AL78" s="182"/>
      <c r="AM78" s="183"/>
      <c r="AN78" s="209">
        <v>2500000</v>
      </c>
      <c r="AO78" s="210">
        <v>1503629.3050684931</v>
      </c>
    </row>
    <row r="79" spans="1:41" ht="13.5" thickBot="1">
      <c r="A79" s="431" t="e">
        <f>+CONDICIONES!#REF!</f>
        <v>#REF!</v>
      </c>
      <c r="B79" s="108">
        <v>118032</v>
      </c>
      <c r="C79" s="109">
        <v>0</v>
      </c>
      <c r="D79" s="108">
        <v>118032</v>
      </c>
      <c r="E79" s="109">
        <v>0</v>
      </c>
      <c r="F79" s="108">
        <v>118032</v>
      </c>
      <c r="G79" s="109">
        <v>0</v>
      </c>
      <c r="H79" s="108">
        <v>118032</v>
      </c>
      <c r="I79" s="109">
        <v>0</v>
      </c>
      <c r="J79" s="108">
        <v>118032</v>
      </c>
      <c r="K79" s="109">
        <v>0</v>
      </c>
      <c r="L79" s="108">
        <v>118032</v>
      </c>
      <c r="M79" s="109">
        <v>0</v>
      </c>
      <c r="N79" s="108">
        <v>118032</v>
      </c>
      <c r="O79" s="109">
        <v>0</v>
      </c>
      <c r="P79" s="108">
        <v>118032</v>
      </c>
      <c r="Q79" s="109">
        <v>0</v>
      </c>
      <c r="R79" s="108">
        <v>118032</v>
      </c>
      <c r="S79" s="109">
        <v>0</v>
      </c>
      <c r="T79" s="182"/>
      <c r="U79" s="183"/>
      <c r="V79" s="182"/>
      <c r="W79" s="183"/>
      <c r="X79" s="182"/>
      <c r="Y79" s="183"/>
      <c r="Z79" s="182"/>
      <c r="AA79" s="183"/>
      <c r="AB79" s="182"/>
      <c r="AC79" s="183"/>
      <c r="AD79" s="182"/>
      <c r="AE79" s="183"/>
      <c r="AF79" s="182"/>
      <c r="AG79" s="183"/>
      <c r="AH79" s="182"/>
      <c r="AI79" s="183"/>
      <c r="AJ79" s="182"/>
      <c r="AK79" s="183"/>
      <c r="AL79" s="182"/>
      <c r="AM79" s="183"/>
      <c r="AN79" s="680">
        <v>1062288</v>
      </c>
      <c r="AO79" s="681">
        <v>0</v>
      </c>
    </row>
    <row r="80" spans="1:42" ht="13.5" thickBot="1">
      <c r="A80" s="30" t="s">
        <v>121</v>
      </c>
      <c r="B80" s="172">
        <v>32368786.949999996</v>
      </c>
      <c r="C80" s="173">
        <v>13608512.759178083</v>
      </c>
      <c r="D80" s="172">
        <v>35631515.519999996</v>
      </c>
      <c r="E80" s="173">
        <v>9439572.209999999</v>
      </c>
      <c r="F80" s="172">
        <v>23651232.75</v>
      </c>
      <c r="G80" s="173">
        <v>5593370.549999999</v>
      </c>
      <c r="H80" s="172">
        <v>14751624.64</v>
      </c>
      <c r="I80" s="173">
        <v>3650391.59</v>
      </c>
      <c r="J80" s="172">
        <v>14205554.87</v>
      </c>
      <c r="K80" s="173">
        <v>2046503.4</v>
      </c>
      <c r="L80" s="172">
        <v>7533848.609999999</v>
      </c>
      <c r="M80" s="173">
        <v>855943.09</v>
      </c>
      <c r="N80" s="172">
        <v>1805010.119999965</v>
      </c>
      <c r="O80" s="173">
        <v>567996.61</v>
      </c>
      <c r="P80" s="172">
        <v>851681.03</v>
      </c>
      <c r="Q80" s="173">
        <v>483825.16</v>
      </c>
      <c r="R80" s="172">
        <v>721183.2</v>
      </c>
      <c r="S80" s="173">
        <v>447425.95</v>
      </c>
      <c r="T80" s="172">
        <v>603151.2</v>
      </c>
      <c r="U80" s="173">
        <v>409977.1</v>
      </c>
      <c r="V80" s="172">
        <v>603151.2</v>
      </c>
      <c r="W80" s="173">
        <v>373788.04</v>
      </c>
      <c r="X80" s="172">
        <v>603151.2</v>
      </c>
      <c r="Y80" s="173">
        <v>337598.96</v>
      </c>
      <c r="Z80" s="172">
        <v>603151.2</v>
      </c>
      <c r="AA80" s="173">
        <v>302273.06</v>
      </c>
      <c r="AB80" s="172">
        <v>603151.2</v>
      </c>
      <c r="AC80" s="173">
        <v>265220.82</v>
      </c>
      <c r="AD80" s="172">
        <v>603151.2</v>
      </c>
      <c r="AE80" s="173">
        <v>229031.74</v>
      </c>
      <c r="AF80" s="172">
        <v>603151.2</v>
      </c>
      <c r="AG80" s="173">
        <v>192842.68</v>
      </c>
      <c r="AH80" s="172">
        <v>603151.2</v>
      </c>
      <c r="AI80" s="173">
        <v>157120.17</v>
      </c>
      <c r="AJ80" s="172">
        <v>603151.2</v>
      </c>
      <c r="AK80" s="173">
        <v>120464.52</v>
      </c>
      <c r="AL80" s="172">
        <v>1682343.4000000523</v>
      </c>
      <c r="AM80" s="173">
        <v>84275.46</v>
      </c>
      <c r="AN80" s="172">
        <v>138631141.89</v>
      </c>
      <c r="AO80" s="173">
        <v>39166133.86917809</v>
      </c>
      <c r="AP80" s="398"/>
    </row>
    <row r="81" spans="1:41" s="11" customFormat="1" ht="11.25" customHeight="1" thickBot="1">
      <c r="A81" s="77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5"/>
      <c r="AO81" s="185"/>
    </row>
    <row r="82" spans="1:41" s="175" customFormat="1" ht="15" thickBot="1">
      <c r="A82" s="174" t="s">
        <v>93</v>
      </c>
      <c r="B82" s="112">
        <v>40567704.91869019</v>
      </c>
      <c r="C82" s="113">
        <v>15038646.909178084</v>
      </c>
      <c r="D82" s="112">
        <v>43862821.23</v>
      </c>
      <c r="E82" s="113">
        <v>10844750.79</v>
      </c>
      <c r="F82" s="112">
        <v>32492667.729999997</v>
      </c>
      <c r="G82" s="113">
        <v>6925579.719999999</v>
      </c>
      <c r="H82" s="112">
        <v>24158778</v>
      </c>
      <c r="I82" s="113">
        <v>4880194.14</v>
      </c>
      <c r="J82" s="112">
        <v>24029942.869999997</v>
      </c>
      <c r="K82" s="113">
        <v>3137478.64</v>
      </c>
      <c r="L82" s="112">
        <v>17793976.35</v>
      </c>
      <c r="M82" s="113">
        <v>1786812</v>
      </c>
      <c r="N82" s="112">
        <v>12520204.099999966</v>
      </c>
      <c r="O82" s="113">
        <v>1325827.77</v>
      </c>
      <c r="P82" s="112">
        <v>12042124.37</v>
      </c>
      <c r="Q82" s="113">
        <v>1051438.61</v>
      </c>
      <c r="R82" s="112">
        <v>12407954.23</v>
      </c>
      <c r="S82" s="113">
        <v>807665.63</v>
      </c>
      <c r="T82" s="112">
        <v>12808264.289999995</v>
      </c>
      <c r="U82" s="113">
        <v>540807.75</v>
      </c>
      <c r="V82" s="112">
        <v>603151.2</v>
      </c>
      <c r="W82" s="113">
        <v>373788.04</v>
      </c>
      <c r="X82" s="112">
        <v>603151.2</v>
      </c>
      <c r="Y82" s="113">
        <v>337598.96</v>
      </c>
      <c r="Z82" s="112">
        <v>603151.2</v>
      </c>
      <c r="AA82" s="113">
        <v>302273.06</v>
      </c>
      <c r="AB82" s="112">
        <v>603151.2</v>
      </c>
      <c r="AC82" s="113">
        <v>265220.82</v>
      </c>
      <c r="AD82" s="112">
        <v>603151.2</v>
      </c>
      <c r="AE82" s="113">
        <v>229031.74</v>
      </c>
      <c r="AF82" s="112">
        <v>603151.2</v>
      </c>
      <c r="AG82" s="113">
        <v>192842.68</v>
      </c>
      <c r="AH82" s="112">
        <v>603151.2</v>
      </c>
      <c r="AI82" s="113">
        <v>157120.17</v>
      </c>
      <c r="AJ82" s="112">
        <v>603151.2</v>
      </c>
      <c r="AK82" s="113">
        <v>120464.52</v>
      </c>
      <c r="AL82" s="112">
        <v>1682343.4000000523</v>
      </c>
      <c r="AM82" s="113">
        <v>84275.46</v>
      </c>
      <c r="AN82" s="112">
        <v>239191991.0886901</v>
      </c>
      <c r="AO82" s="113">
        <v>48401817.4091781</v>
      </c>
    </row>
    <row r="86" ht="12.75">
      <c r="B86" s="682"/>
    </row>
    <row r="87" ht="12.75">
      <c r="F87" s="13"/>
    </row>
    <row r="88" spans="1:5" ht="12.75">
      <c r="A88" s="687" t="s">
        <v>263</v>
      </c>
      <c r="B88" s="688"/>
      <c r="C88" s="688"/>
      <c r="D88" s="688"/>
      <c r="E88" s="688"/>
    </row>
    <row r="89" spans="1:5" ht="12.75">
      <c r="A89" s="688"/>
      <c r="B89" s="688"/>
      <c r="C89" s="688"/>
      <c r="D89" s="688"/>
      <c r="E89" s="688"/>
    </row>
    <row r="90" spans="1:5" ht="12.75">
      <c r="A90" s="688"/>
      <c r="B90" s="688"/>
      <c r="C90" s="688"/>
      <c r="D90" s="688"/>
      <c r="E90" s="688"/>
    </row>
    <row r="91" spans="1:5" ht="12.75">
      <c r="A91" s="688" t="s">
        <v>311</v>
      </c>
      <c r="B91" s="689">
        <f>B31+B34+B36+B54+B68+B79</f>
        <v>28845652.38869019</v>
      </c>
      <c r="C91" s="690">
        <f>C31+C34+C36+C54+C68</f>
        <v>6964923.2700000005</v>
      </c>
      <c r="D91" s="689">
        <f>D31+D34+D36+D54+D68+D79</f>
        <v>28824679.71</v>
      </c>
      <c r="E91" s="690">
        <f>E31+E34+E36+E54+E68</f>
        <v>4588087.399999999</v>
      </c>
    </row>
    <row r="92" spans="1:5" ht="12.75">
      <c r="A92" s="688" t="s">
        <v>179</v>
      </c>
      <c r="B92" s="691">
        <f>+B58+B74-B79</f>
        <v>11722052.53</v>
      </c>
      <c r="C92" s="692">
        <f>+C58+C74</f>
        <v>8073723.639178082</v>
      </c>
      <c r="D92" s="691">
        <f>+D58+D74-D79</f>
        <v>15038141.52</v>
      </c>
      <c r="E92" s="692">
        <f>+E58+E74</f>
        <v>6256663.390000001</v>
      </c>
    </row>
    <row r="96" spans="1:41" ht="12.75">
      <c r="A96" s="34" t="s">
        <v>1</v>
      </c>
      <c r="B96" s="672">
        <f aca="true" t="shared" si="0" ref="B96:AO96">+B13+B35+B37+B75</f>
        <v>6457769.42</v>
      </c>
      <c r="C96" s="673">
        <f t="shared" si="0"/>
        <v>2628579.8899999997</v>
      </c>
      <c r="D96" s="672">
        <f t="shared" si="0"/>
        <v>6120627.5600000005</v>
      </c>
      <c r="E96" s="673">
        <f t="shared" si="0"/>
        <v>1859869.4899999998</v>
      </c>
      <c r="F96" s="672">
        <f t="shared" si="0"/>
        <v>4902363.34</v>
      </c>
      <c r="G96" s="673">
        <f t="shared" si="0"/>
        <v>1345965.89</v>
      </c>
      <c r="H96" s="672">
        <f t="shared" si="0"/>
        <v>4346700.98</v>
      </c>
      <c r="I96" s="673">
        <f t="shared" si="0"/>
        <v>981699.2</v>
      </c>
      <c r="J96" s="672">
        <f t="shared" si="0"/>
        <v>4745910.359999999</v>
      </c>
      <c r="K96" s="673">
        <f t="shared" si="0"/>
        <v>612529.22</v>
      </c>
      <c r="L96" s="672">
        <f t="shared" si="0"/>
        <v>3094419.42</v>
      </c>
      <c r="M96" s="673">
        <f t="shared" si="0"/>
        <v>203409.22999999998</v>
      </c>
      <c r="N96" s="672">
        <f t="shared" si="0"/>
        <v>1156140.05</v>
      </c>
      <c r="O96" s="673">
        <f t="shared" si="0"/>
        <v>81767.9</v>
      </c>
      <c r="P96" s="672">
        <f t="shared" si="0"/>
        <v>1207418.2</v>
      </c>
      <c r="Q96" s="673">
        <f t="shared" si="0"/>
        <v>61244.02</v>
      </c>
      <c r="R96" s="672">
        <f t="shared" si="0"/>
        <v>1260970.65</v>
      </c>
      <c r="S96" s="673">
        <f t="shared" si="0"/>
        <v>38868.77</v>
      </c>
      <c r="T96" s="672">
        <f t="shared" si="0"/>
        <v>1316898.31</v>
      </c>
      <c r="U96" s="673">
        <f t="shared" si="0"/>
        <v>14116.23</v>
      </c>
      <c r="V96" s="672">
        <f t="shared" si="0"/>
        <v>0</v>
      </c>
      <c r="W96" s="673">
        <f t="shared" si="0"/>
        <v>0</v>
      </c>
      <c r="X96" s="672">
        <f t="shared" si="0"/>
        <v>0</v>
      </c>
      <c r="Y96" s="673">
        <f t="shared" si="0"/>
        <v>0</v>
      </c>
      <c r="Z96" s="672">
        <f t="shared" si="0"/>
        <v>0</v>
      </c>
      <c r="AA96" s="673">
        <f t="shared" si="0"/>
        <v>0</v>
      </c>
      <c r="AB96" s="672">
        <f t="shared" si="0"/>
        <v>0</v>
      </c>
      <c r="AC96" s="673">
        <f t="shared" si="0"/>
        <v>0</v>
      </c>
      <c r="AD96" s="672">
        <f t="shared" si="0"/>
        <v>0</v>
      </c>
      <c r="AE96" s="673">
        <f t="shared" si="0"/>
        <v>0</v>
      </c>
      <c r="AF96" s="672">
        <f t="shared" si="0"/>
        <v>0</v>
      </c>
      <c r="AG96" s="673">
        <f t="shared" si="0"/>
        <v>0</v>
      </c>
      <c r="AH96" s="672">
        <f t="shared" si="0"/>
        <v>0</v>
      </c>
      <c r="AI96" s="673">
        <f t="shared" si="0"/>
        <v>0</v>
      </c>
      <c r="AJ96" s="672">
        <f t="shared" si="0"/>
        <v>0</v>
      </c>
      <c r="AK96" s="673">
        <f t="shared" si="0"/>
        <v>0</v>
      </c>
      <c r="AL96" s="672">
        <f t="shared" si="0"/>
        <v>0</v>
      </c>
      <c r="AM96" s="673">
        <f t="shared" si="0"/>
        <v>0</v>
      </c>
      <c r="AN96" s="672">
        <f t="shared" si="0"/>
        <v>34609218.29</v>
      </c>
      <c r="AO96" s="673">
        <f t="shared" si="0"/>
        <v>7828049.840000001</v>
      </c>
    </row>
    <row r="97" spans="1:41" ht="12.75">
      <c r="A97" s="34" t="s">
        <v>21</v>
      </c>
      <c r="B97" s="672">
        <f aca="true" t="shared" si="1" ref="B97:AO97">+B14+B38</f>
        <v>1416635.76</v>
      </c>
      <c r="C97" s="673">
        <f t="shared" si="1"/>
        <v>349867.65</v>
      </c>
      <c r="D97" s="672">
        <f t="shared" si="1"/>
        <v>1596349.98</v>
      </c>
      <c r="E97" s="673">
        <f t="shared" si="1"/>
        <v>231290.78000000003</v>
      </c>
      <c r="F97" s="672">
        <f t="shared" si="1"/>
        <v>1156120.1800000002</v>
      </c>
      <c r="G97" s="673">
        <f t="shared" si="1"/>
        <v>107420.70999999999</v>
      </c>
      <c r="H97" s="672">
        <f t="shared" si="1"/>
        <v>614309.54</v>
      </c>
      <c r="I97" s="673">
        <f t="shared" si="1"/>
        <v>80309.03</v>
      </c>
      <c r="J97" s="672">
        <f t="shared" si="1"/>
        <v>641555.94</v>
      </c>
      <c r="K97" s="673">
        <f t="shared" si="1"/>
        <v>71243.4</v>
      </c>
      <c r="L97" s="672">
        <f t="shared" si="1"/>
        <v>670010.78</v>
      </c>
      <c r="M97" s="673">
        <f t="shared" si="1"/>
        <v>60787.99</v>
      </c>
      <c r="N97" s="672">
        <f t="shared" si="1"/>
        <v>699727.68</v>
      </c>
      <c r="O97" s="673">
        <f t="shared" si="1"/>
        <v>49488.07</v>
      </c>
      <c r="P97" s="672">
        <f t="shared" si="1"/>
        <v>730762.48</v>
      </c>
      <c r="Q97" s="673">
        <f t="shared" si="1"/>
        <v>37066.58</v>
      </c>
      <c r="R97" s="672">
        <f t="shared" si="1"/>
        <v>763173.6</v>
      </c>
      <c r="S97" s="673">
        <f t="shared" si="1"/>
        <v>23524.55</v>
      </c>
      <c r="T97" s="672">
        <f t="shared" si="1"/>
        <v>797022.54</v>
      </c>
      <c r="U97" s="673">
        <f t="shared" si="1"/>
        <v>8543.48</v>
      </c>
      <c r="V97" s="672">
        <f t="shared" si="1"/>
        <v>0</v>
      </c>
      <c r="W97" s="673">
        <f t="shared" si="1"/>
        <v>0</v>
      </c>
      <c r="X97" s="672">
        <f t="shared" si="1"/>
        <v>0</v>
      </c>
      <c r="Y97" s="673">
        <f t="shared" si="1"/>
        <v>0</v>
      </c>
      <c r="Z97" s="672">
        <f t="shared" si="1"/>
        <v>0</v>
      </c>
      <c r="AA97" s="673">
        <f t="shared" si="1"/>
        <v>0</v>
      </c>
      <c r="AB97" s="672">
        <f t="shared" si="1"/>
        <v>0</v>
      </c>
      <c r="AC97" s="673">
        <f t="shared" si="1"/>
        <v>0</v>
      </c>
      <c r="AD97" s="672">
        <f t="shared" si="1"/>
        <v>0</v>
      </c>
      <c r="AE97" s="673">
        <f t="shared" si="1"/>
        <v>0</v>
      </c>
      <c r="AF97" s="672">
        <f t="shared" si="1"/>
        <v>0</v>
      </c>
      <c r="AG97" s="673">
        <f t="shared" si="1"/>
        <v>0</v>
      </c>
      <c r="AH97" s="672">
        <f t="shared" si="1"/>
        <v>0</v>
      </c>
      <c r="AI97" s="673">
        <f t="shared" si="1"/>
        <v>0</v>
      </c>
      <c r="AJ97" s="672">
        <f t="shared" si="1"/>
        <v>0</v>
      </c>
      <c r="AK97" s="673">
        <f t="shared" si="1"/>
        <v>0</v>
      </c>
      <c r="AL97" s="672">
        <f t="shared" si="1"/>
        <v>0</v>
      </c>
      <c r="AM97" s="673">
        <f t="shared" si="1"/>
        <v>0</v>
      </c>
      <c r="AN97" s="672">
        <f t="shared" si="1"/>
        <v>9085668.479999999</v>
      </c>
      <c r="AO97" s="673">
        <f t="shared" si="1"/>
        <v>1019542.24</v>
      </c>
    </row>
    <row r="98" spans="1:41" ht="12.75">
      <c r="A98" s="34" t="s">
        <v>22</v>
      </c>
      <c r="B98" s="674">
        <f aca="true" t="shared" si="2" ref="B98:AO98">+B15+B39+B55+B60+B71</f>
        <v>3476025.99</v>
      </c>
      <c r="C98" s="675">
        <f t="shared" si="2"/>
        <v>1299534.33</v>
      </c>
      <c r="D98" s="674">
        <f t="shared" si="2"/>
        <v>2848301.7</v>
      </c>
      <c r="E98" s="675">
        <f t="shared" si="2"/>
        <v>944837.4000000001</v>
      </c>
      <c r="F98" s="674">
        <f t="shared" si="2"/>
        <v>1733702.7</v>
      </c>
      <c r="G98" s="675">
        <f t="shared" si="2"/>
        <v>808008.4199999999</v>
      </c>
      <c r="H98" s="674">
        <f t="shared" si="2"/>
        <v>1569602.43</v>
      </c>
      <c r="I98" s="675">
        <f t="shared" si="2"/>
        <v>753456.24</v>
      </c>
      <c r="J98" s="674">
        <f t="shared" si="2"/>
        <v>1612467.3199999998</v>
      </c>
      <c r="K98" s="675">
        <f t="shared" si="2"/>
        <v>704661.02</v>
      </c>
      <c r="L98" s="674">
        <f t="shared" si="2"/>
        <v>1657233.39</v>
      </c>
      <c r="M98" s="675">
        <f t="shared" si="2"/>
        <v>650366.91</v>
      </c>
      <c r="N98" s="674">
        <f t="shared" si="2"/>
        <v>1703984.98</v>
      </c>
      <c r="O98" s="675">
        <f t="shared" si="2"/>
        <v>596400.78</v>
      </c>
      <c r="P98" s="674">
        <f t="shared" si="2"/>
        <v>1752810.0999999999</v>
      </c>
      <c r="Q98" s="675">
        <f t="shared" si="2"/>
        <v>540669.47</v>
      </c>
      <c r="R98" s="674">
        <f t="shared" si="2"/>
        <v>1803800.78</v>
      </c>
      <c r="S98" s="675">
        <f t="shared" si="2"/>
        <v>484435.37</v>
      </c>
      <c r="T98" s="674">
        <f t="shared" si="2"/>
        <v>1857053.06</v>
      </c>
      <c r="U98" s="675">
        <f t="shared" si="2"/>
        <v>423418.01999999996</v>
      </c>
      <c r="V98" s="674">
        <f t="shared" si="2"/>
        <v>603151.2</v>
      </c>
      <c r="W98" s="675">
        <f t="shared" si="2"/>
        <v>373788.04</v>
      </c>
      <c r="X98" s="674">
        <f t="shared" si="2"/>
        <v>603151.2</v>
      </c>
      <c r="Y98" s="675">
        <f t="shared" si="2"/>
        <v>337598.96</v>
      </c>
      <c r="Z98" s="674">
        <f t="shared" si="2"/>
        <v>603151.2</v>
      </c>
      <c r="AA98" s="675">
        <f t="shared" si="2"/>
        <v>302273.06</v>
      </c>
      <c r="AB98" s="674">
        <f t="shared" si="2"/>
        <v>603151.2</v>
      </c>
      <c r="AC98" s="675">
        <f t="shared" si="2"/>
        <v>265220.82</v>
      </c>
      <c r="AD98" s="674">
        <f t="shared" si="2"/>
        <v>603151.2</v>
      </c>
      <c r="AE98" s="675">
        <f t="shared" si="2"/>
        <v>229031.74</v>
      </c>
      <c r="AF98" s="674">
        <f t="shared" si="2"/>
        <v>603151.2</v>
      </c>
      <c r="AG98" s="675">
        <f t="shared" si="2"/>
        <v>192842.68</v>
      </c>
      <c r="AH98" s="674">
        <f t="shared" si="2"/>
        <v>603151.2</v>
      </c>
      <c r="AI98" s="675">
        <f t="shared" si="2"/>
        <v>157120.17</v>
      </c>
      <c r="AJ98" s="674">
        <f t="shared" si="2"/>
        <v>603151.2</v>
      </c>
      <c r="AK98" s="675">
        <f t="shared" si="2"/>
        <v>120464.52</v>
      </c>
      <c r="AL98" s="674">
        <f t="shared" si="2"/>
        <v>1682343.4000000523</v>
      </c>
      <c r="AM98" s="675">
        <f t="shared" si="2"/>
        <v>84275.46</v>
      </c>
      <c r="AN98" s="674">
        <f t="shared" si="2"/>
        <v>26522535.450000048</v>
      </c>
      <c r="AO98" s="675">
        <f t="shared" si="2"/>
        <v>9268403.41</v>
      </c>
    </row>
    <row r="99" spans="1:41" ht="12.75">
      <c r="A99" s="34" t="s">
        <v>126</v>
      </c>
      <c r="B99" s="674">
        <f aca="true" t="shared" si="3" ref="B99:AO99">+B16+B40+B61+B69</f>
        <v>4479959.800000001</v>
      </c>
      <c r="C99" s="675">
        <f t="shared" si="3"/>
        <v>2058420.61</v>
      </c>
      <c r="D99" s="674">
        <f t="shared" si="3"/>
        <v>5860334.600000001</v>
      </c>
      <c r="E99" s="675">
        <f t="shared" si="3"/>
        <v>1859400.4500000002</v>
      </c>
      <c r="F99" s="674">
        <f t="shared" si="3"/>
        <v>4663077.11</v>
      </c>
      <c r="G99" s="675">
        <f t="shared" si="3"/>
        <v>1330162.28</v>
      </c>
      <c r="H99" s="674">
        <f t="shared" si="3"/>
        <v>3994468.94</v>
      </c>
      <c r="I99" s="675">
        <f t="shared" si="3"/>
        <v>953818.6000000001</v>
      </c>
      <c r="J99" s="674">
        <f t="shared" si="3"/>
        <v>4462587.6</v>
      </c>
      <c r="K99" s="675">
        <f t="shared" si="3"/>
        <v>546992.43</v>
      </c>
      <c r="L99" s="674">
        <f t="shared" si="3"/>
        <v>2683634.8099999996</v>
      </c>
      <c r="M99" s="675">
        <f t="shared" si="3"/>
        <v>214516.06</v>
      </c>
      <c r="N99" s="674">
        <f t="shared" si="3"/>
        <v>2358979.4</v>
      </c>
      <c r="O99" s="675">
        <f t="shared" si="3"/>
        <v>166838.63</v>
      </c>
      <c r="P99" s="674">
        <f t="shared" si="3"/>
        <v>2463606.88</v>
      </c>
      <c r="Q99" s="675">
        <f t="shared" si="3"/>
        <v>124961.39</v>
      </c>
      <c r="R99" s="674">
        <f t="shared" si="3"/>
        <v>2572874.95</v>
      </c>
      <c r="S99" s="675">
        <f t="shared" si="3"/>
        <v>79307.89</v>
      </c>
      <c r="T99" s="674">
        <f t="shared" si="3"/>
        <v>2686989.34</v>
      </c>
      <c r="U99" s="675">
        <f t="shared" si="3"/>
        <v>28802.8</v>
      </c>
      <c r="V99" s="674">
        <f t="shared" si="3"/>
        <v>0</v>
      </c>
      <c r="W99" s="675">
        <f t="shared" si="3"/>
        <v>0</v>
      </c>
      <c r="X99" s="674">
        <f t="shared" si="3"/>
        <v>0</v>
      </c>
      <c r="Y99" s="675">
        <f t="shared" si="3"/>
        <v>0</v>
      </c>
      <c r="Z99" s="674">
        <f t="shared" si="3"/>
        <v>0</v>
      </c>
      <c r="AA99" s="675">
        <f t="shared" si="3"/>
        <v>0</v>
      </c>
      <c r="AB99" s="674">
        <f t="shared" si="3"/>
        <v>0</v>
      </c>
      <c r="AC99" s="675">
        <f t="shared" si="3"/>
        <v>0</v>
      </c>
      <c r="AD99" s="674">
        <f t="shared" si="3"/>
        <v>0</v>
      </c>
      <c r="AE99" s="675">
        <f t="shared" si="3"/>
        <v>0</v>
      </c>
      <c r="AF99" s="674">
        <f t="shared" si="3"/>
        <v>0</v>
      </c>
      <c r="AG99" s="675">
        <f t="shared" si="3"/>
        <v>0</v>
      </c>
      <c r="AH99" s="674">
        <f t="shared" si="3"/>
        <v>0</v>
      </c>
      <c r="AI99" s="675">
        <f t="shared" si="3"/>
        <v>0</v>
      </c>
      <c r="AJ99" s="674">
        <f t="shared" si="3"/>
        <v>0</v>
      </c>
      <c r="AK99" s="675">
        <f t="shared" si="3"/>
        <v>0</v>
      </c>
      <c r="AL99" s="674">
        <f t="shared" si="3"/>
        <v>0</v>
      </c>
      <c r="AM99" s="675">
        <f t="shared" si="3"/>
        <v>0</v>
      </c>
      <c r="AN99" s="674">
        <f t="shared" si="3"/>
        <v>36226513.43000001</v>
      </c>
      <c r="AO99" s="675">
        <f t="shared" si="3"/>
        <v>7363221.14</v>
      </c>
    </row>
    <row r="100" spans="1:41" ht="12.75">
      <c r="A100" s="34" t="s">
        <v>127</v>
      </c>
      <c r="B100" s="674">
        <f aca="true" t="shared" si="4" ref="B100:AO100">+B17+B41</f>
        <v>388252.15</v>
      </c>
      <c r="C100" s="675">
        <f t="shared" si="4"/>
        <v>93663.76000000001</v>
      </c>
      <c r="D100" s="674">
        <f t="shared" si="4"/>
        <v>437508.51</v>
      </c>
      <c r="E100" s="675">
        <f t="shared" si="4"/>
        <v>64548.03</v>
      </c>
      <c r="F100" s="674">
        <f t="shared" si="4"/>
        <v>332554.69</v>
      </c>
      <c r="G100" s="675">
        <f t="shared" si="4"/>
        <v>33683.19</v>
      </c>
      <c r="H100" s="674">
        <f t="shared" si="4"/>
        <v>202373.85</v>
      </c>
      <c r="I100" s="675">
        <f t="shared" si="4"/>
        <v>26456.5</v>
      </c>
      <c r="J100" s="674">
        <f t="shared" si="4"/>
        <v>211350.09</v>
      </c>
      <c r="K100" s="675">
        <f t="shared" si="4"/>
        <v>23469.88</v>
      </c>
      <c r="L100" s="674">
        <f t="shared" si="4"/>
        <v>220724.04</v>
      </c>
      <c r="M100" s="675">
        <f t="shared" si="4"/>
        <v>20025.68</v>
      </c>
      <c r="N100" s="674">
        <f t="shared" si="4"/>
        <v>230513.8</v>
      </c>
      <c r="O100" s="675">
        <f t="shared" si="4"/>
        <v>16303.12</v>
      </c>
      <c r="P100" s="674">
        <f t="shared" si="4"/>
        <v>240737.75</v>
      </c>
      <c r="Q100" s="675">
        <f t="shared" si="4"/>
        <v>12210.88</v>
      </c>
      <c r="R100" s="674">
        <f t="shared" si="4"/>
        <v>251415.15</v>
      </c>
      <c r="S100" s="675">
        <f t="shared" si="4"/>
        <v>7749.9</v>
      </c>
      <c r="T100" s="674">
        <f t="shared" si="4"/>
        <v>262566.14</v>
      </c>
      <c r="U100" s="675">
        <f t="shared" si="4"/>
        <v>2814.62</v>
      </c>
      <c r="V100" s="674">
        <f t="shared" si="4"/>
        <v>0</v>
      </c>
      <c r="W100" s="675">
        <f t="shared" si="4"/>
        <v>0</v>
      </c>
      <c r="X100" s="674">
        <f t="shared" si="4"/>
        <v>0</v>
      </c>
      <c r="Y100" s="675">
        <f t="shared" si="4"/>
        <v>0</v>
      </c>
      <c r="Z100" s="674">
        <f t="shared" si="4"/>
        <v>0</v>
      </c>
      <c r="AA100" s="675">
        <f t="shared" si="4"/>
        <v>0</v>
      </c>
      <c r="AB100" s="674">
        <f t="shared" si="4"/>
        <v>0</v>
      </c>
      <c r="AC100" s="675">
        <f t="shared" si="4"/>
        <v>0</v>
      </c>
      <c r="AD100" s="674">
        <f t="shared" si="4"/>
        <v>0</v>
      </c>
      <c r="AE100" s="675">
        <f t="shared" si="4"/>
        <v>0</v>
      </c>
      <c r="AF100" s="674">
        <f t="shared" si="4"/>
        <v>0</v>
      </c>
      <c r="AG100" s="675">
        <f t="shared" si="4"/>
        <v>0</v>
      </c>
      <c r="AH100" s="674">
        <f t="shared" si="4"/>
        <v>0</v>
      </c>
      <c r="AI100" s="675">
        <f t="shared" si="4"/>
        <v>0</v>
      </c>
      <c r="AJ100" s="674">
        <f t="shared" si="4"/>
        <v>0</v>
      </c>
      <c r="AK100" s="675">
        <f t="shared" si="4"/>
        <v>0</v>
      </c>
      <c r="AL100" s="674">
        <f t="shared" si="4"/>
        <v>0</v>
      </c>
      <c r="AM100" s="675">
        <f t="shared" si="4"/>
        <v>0</v>
      </c>
      <c r="AN100" s="674">
        <f t="shared" si="4"/>
        <v>2777996.17</v>
      </c>
      <c r="AO100" s="675">
        <f t="shared" si="4"/>
        <v>300925.56</v>
      </c>
    </row>
    <row r="101" spans="1:41" ht="12.75">
      <c r="A101" s="34" t="s">
        <v>14</v>
      </c>
      <c r="B101" s="672">
        <f aca="true" t="shared" si="5" ref="B101:AO101">+B18+B42</f>
        <v>364968.14</v>
      </c>
      <c r="C101" s="673">
        <f t="shared" si="5"/>
        <v>91894.72</v>
      </c>
      <c r="D101" s="672">
        <f t="shared" si="5"/>
        <v>411265.8</v>
      </c>
      <c r="E101" s="673">
        <f t="shared" si="5"/>
        <v>58670.74</v>
      </c>
      <c r="F101" s="672">
        <f t="shared" si="5"/>
        <v>285433.43</v>
      </c>
      <c r="G101" s="673">
        <f t="shared" si="5"/>
        <v>24319.089999999997</v>
      </c>
      <c r="H101" s="672">
        <f t="shared" si="5"/>
        <v>131364.27</v>
      </c>
      <c r="I101" s="673">
        <f t="shared" si="5"/>
        <v>17173.33</v>
      </c>
      <c r="J101" s="672">
        <f t="shared" si="5"/>
        <v>137190.66</v>
      </c>
      <c r="K101" s="673">
        <f t="shared" si="5"/>
        <v>15234.67</v>
      </c>
      <c r="L101" s="672">
        <f t="shared" si="5"/>
        <v>143275.45</v>
      </c>
      <c r="M101" s="673">
        <f t="shared" si="5"/>
        <v>12998.91</v>
      </c>
      <c r="N101" s="672">
        <f t="shared" si="5"/>
        <v>149630.14</v>
      </c>
      <c r="O101" s="673">
        <f t="shared" si="5"/>
        <v>10582.6</v>
      </c>
      <c r="P101" s="672">
        <f t="shared" si="5"/>
        <v>156266.66</v>
      </c>
      <c r="Q101" s="673">
        <f t="shared" si="5"/>
        <v>7926.3</v>
      </c>
      <c r="R101" s="672">
        <f t="shared" si="5"/>
        <v>163197.54</v>
      </c>
      <c r="S101" s="673">
        <f t="shared" si="5"/>
        <v>5030.65</v>
      </c>
      <c r="T101" s="672">
        <f t="shared" si="5"/>
        <v>170435.81</v>
      </c>
      <c r="U101" s="673">
        <f t="shared" si="5"/>
        <v>1827</v>
      </c>
      <c r="V101" s="672">
        <f t="shared" si="5"/>
        <v>0</v>
      </c>
      <c r="W101" s="673">
        <f t="shared" si="5"/>
        <v>0</v>
      </c>
      <c r="X101" s="672">
        <f t="shared" si="5"/>
        <v>0</v>
      </c>
      <c r="Y101" s="673">
        <f t="shared" si="5"/>
        <v>0</v>
      </c>
      <c r="Z101" s="672">
        <f t="shared" si="5"/>
        <v>0</v>
      </c>
      <c r="AA101" s="673">
        <f t="shared" si="5"/>
        <v>0</v>
      </c>
      <c r="AB101" s="672">
        <f t="shared" si="5"/>
        <v>0</v>
      </c>
      <c r="AC101" s="673">
        <f t="shared" si="5"/>
        <v>0</v>
      </c>
      <c r="AD101" s="672">
        <f t="shared" si="5"/>
        <v>0</v>
      </c>
      <c r="AE101" s="673">
        <f t="shared" si="5"/>
        <v>0</v>
      </c>
      <c r="AF101" s="672">
        <f t="shared" si="5"/>
        <v>0</v>
      </c>
      <c r="AG101" s="673">
        <f t="shared" si="5"/>
        <v>0</v>
      </c>
      <c r="AH101" s="672">
        <f t="shared" si="5"/>
        <v>0</v>
      </c>
      <c r="AI101" s="673">
        <f t="shared" si="5"/>
        <v>0</v>
      </c>
      <c r="AJ101" s="672">
        <f t="shared" si="5"/>
        <v>0</v>
      </c>
      <c r="AK101" s="673">
        <f t="shared" si="5"/>
        <v>0</v>
      </c>
      <c r="AL101" s="672">
        <f t="shared" si="5"/>
        <v>0</v>
      </c>
      <c r="AM101" s="673">
        <f t="shared" si="5"/>
        <v>0</v>
      </c>
      <c r="AN101" s="672">
        <f t="shared" si="5"/>
        <v>2113027.9</v>
      </c>
      <c r="AO101" s="673">
        <f t="shared" si="5"/>
        <v>245658.01</v>
      </c>
    </row>
    <row r="102" spans="1:41" ht="12.75">
      <c r="A102" s="34" t="s">
        <v>13</v>
      </c>
      <c r="B102" s="672">
        <f aca="true" t="shared" si="6" ref="B102:AO102">+B19+B43</f>
        <v>1749965.9100000001</v>
      </c>
      <c r="C102" s="673">
        <f t="shared" si="6"/>
        <v>449939.92000000004</v>
      </c>
      <c r="D102" s="672">
        <f t="shared" si="6"/>
        <v>1971944.55</v>
      </c>
      <c r="E102" s="673">
        <f t="shared" si="6"/>
        <v>276458.87</v>
      </c>
      <c r="F102" s="672">
        <f t="shared" si="6"/>
        <v>1302796.16</v>
      </c>
      <c r="G102" s="673">
        <f t="shared" si="6"/>
        <v>98823.53</v>
      </c>
      <c r="H102" s="672">
        <f t="shared" si="6"/>
        <v>487304.77</v>
      </c>
      <c r="I102" s="673">
        <f t="shared" si="6"/>
        <v>63705.67</v>
      </c>
      <c r="J102" s="672">
        <f t="shared" si="6"/>
        <v>508918.12</v>
      </c>
      <c r="K102" s="673">
        <f t="shared" si="6"/>
        <v>56514.07</v>
      </c>
      <c r="L102" s="672">
        <f t="shared" si="6"/>
        <v>531490.09</v>
      </c>
      <c r="M102" s="673">
        <f t="shared" si="6"/>
        <v>48220.41</v>
      </c>
      <c r="N102" s="672">
        <f t="shared" si="6"/>
        <v>555063.22</v>
      </c>
      <c r="O102" s="673">
        <f t="shared" si="6"/>
        <v>39256.78</v>
      </c>
      <c r="P102" s="672">
        <f t="shared" si="6"/>
        <v>579681.86</v>
      </c>
      <c r="Q102" s="673">
        <f t="shared" si="6"/>
        <v>29403.27</v>
      </c>
      <c r="R102" s="672">
        <f t="shared" si="6"/>
        <v>605392.42</v>
      </c>
      <c r="S102" s="673">
        <f t="shared" si="6"/>
        <v>18660.99</v>
      </c>
      <c r="T102" s="672">
        <f t="shared" si="6"/>
        <v>632243.29</v>
      </c>
      <c r="U102" s="673">
        <f t="shared" si="6"/>
        <v>6777.14</v>
      </c>
      <c r="V102" s="672">
        <f t="shared" si="6"/>
        <v>0</v>
      </c>
      <c r="W102" s="673">
        <f t="shared" si="6"/>
        <v>0</v>
      </c>
      <c r="X102" s="672">
        <f t="shared" si="6"/>
        <v>0</v>
      </c>
      <c r="Y102" s="673">
        <f t="shared" si="6"/>
        <v>0</v>
      </c>
      <c r="Z102" s="672">
        <f t="shared" si="6"/>
        <v>0</v>
      </c>
      <c r="AA102" s="673">
        <f t="shared" si="6"/>
        <v>0</v>
      </c>
      <c r="AB102" s="672">
        <f t="shared" si="6"/>
        <v>0</v>
      </c>
      <c r="AC102" s="673">
        <f t="shared" si="6"/>
        <v>0</v>
      </c>
      <c r="AD102" s="672">
        <f t="shared" si="6"/>
        <v>0</v>
      </c>
      <c r="AE102" s="673">
        <f t="shared" si="6"/>
        <v>0</v>
      </c>
      <c r="AF102" s="672">
        <f t="shared" si="6"/>
        <v>0</v>
      </c>
      <c r="AG102" s="673">
        <f t="shared" si="6"/>
        <v>0</v>
      </c>
      <c r="AH102" s="672">
        <f t="shared" si="6"/>
        <v>0</v>
      </c>
      <c r="AI102" s="673">
        <f t="shared" si="6"/>
        <v>0</v>
      </c>
      <c r="AJ102" s="672">
        <f t="shared" si="6"/>
        <v>0</v>
      </c>
      <c r="AK102" s="673">
        <f t="shared" si="6"/>
        <v>0</v>
      </c>
      <c r="AL102" s="672">
        <f t="shared" si="6"/>
        <v>0</v>
      </c>
      <c r="AM102" s="673">
        <f t="shared" si="6"/>
        <v>0</v>
      </c>
      <c r="AN102" s="672">
        <f t="shared" si="6"/>
        <v>8924800.39</v>
      </c>
      <c r="AO102" s="673">
        <f t="shared" si="6"/>
        <v>1087760.65</v>
      </c>
    </row>
    <row r="103" spans="1:41" ht="12.75">
      <c r="A103" s="34" t="s">
        <v>9</v>
      </c>
      <c r="B103" s="674">
        <f>+B44</f>
        <v>452717.91</v>
      </c>
      <c r="C103" s="675">
        <f>+C44</f>
        <v>124640.06</v>
      </c>
      <c r="D103" s="674">
        <f aca="true" t="shared" si="7" ref="D103:L103">+D44</f>
        <v>510133.89</v>
      </c>
      <c r="E103" s="675">
        <f t="shared" si="7"/>
        <v>67224.09</v>
      </c>
      <c r="F103" s="674">
        <f t="shared" si="7"/>
        <v>278838.73</v>
      </c>
      <c r="G103" s="675">
        <f t="shared" si="7"/>
        <v>9840.28</v>
      </c>
      <c r="H103" s="674">
        <f t="shared" si="7"/>
        <v>0</v>
      </c>
      <c r="I103" s="675">
        <f t="shared" si="7"/>
        <v>0</v>
      </c>
      <c r="J103" s="674">
        <f t="shared" si="7"/>
        <v>0</v>
      </c>
      <c r="K103" s="675">
        <f t="shared" si="7"/>
        <v>0</v>
      </c>
      <c r="L103" s="674">
        <f t="shared" si="7"/>
        <v>0</v>
      </c>
      <c r="M103" s="675">
        <f aca="true" t="shared" si="8" ref="M103:AE103">+M44</f>
        <v>0</v>
      </c>
      <c r="N103" s="674">
        <f t="shared" si="8"/>
        <v>0</v>
      </c>
      <c r="O103" s="675">
        <f t="shared" si="8"/>
        <v>0</v>
      </c>
      <c r="P103" s="674">
        <f t="shared" si="8"/>
        <v>0</v>
      </c>
      <c r="Q103" s="675">
        <f t="shared" si="8"/>
        <v>0</v>
      </c>
      <c r="R103" s="674">
        <f t="shared" si="8"/>
        <v>0</v>
      </c>
      <c r="S103" s="675">
        <f t="shared" si="8"/>
        <v>0</v>
      </c>
      <c r="T103" s="674">
        <f t="shared" si="8"/>
        <v>0</v>
      </c>
      <c r="U103" s="675">
        <f t="shared" si="8"/>
        <v>0</v>
      </c>
      <c r="V103" s="674">
        <f t="shared" si="8"/>
        <v>0</v>
      </c>
      <c r="W103" s="675">
        <f t="shared" si="8"/>
        <v>0</v>
      </c>
      <c r="X103" s="674">
        <f t="shared" si="8"/>
        <v>0</v>
      </c>
      <c r="Y103" s="675">
        <f t="shared" si="8"/>
        <v>0</v>
      </c>
      <c r="Z103" s="674">
        <f t="shared" si="8"/>
        <v>0</v>
      </c>
      <c r="AA103" s="675">
        <f t="shared" si="8"/>
        <v>0</v>
      </c>
      <c r="AB103" s="674">
        <f t="shared" si="8"/>
        <v>0</v>
      </c>
      <c r="AC103" s="675">
        <f t="shared" si="8"/>
        <v>0</v>
      </c>
      <c r="AD103" s="674">
        <f t="shared" si="8"/>
        <v>0</v>
      </c>
      <c r="AE103" s="675">
        <f t="shared" si="8"/>
        <v>0</v>
      </c>
      <c r="AF103" s="674">
        <f aca="true" t="shared" si="9" ref="AF103:AO103">+AF44</f>
        <v>0</v>
      </c>
      <c r="AG103" s="675">
        <f t="shared" si="9"/>
        <v>0</v>
      </c>
      <c r="AH103" s="674">
        <f t="shared" si="9"/>
        <v>0</v>
      </c>
      <c r="AI103" s="675">
        <f t="shared" si="9"/>
        <v>0</v>
      </c>
      <c r="AJ103" s="674">
        <f t="shared" si="9"/>
        <v>0</v>
      </c>
      <c r="AK103" s="675">
        <f t="shared" si="9"/>
        <v>0</v>
      </c>
      <c r="AL103" s="674">
        <f t="shared" si="9"/>
        <v>0</v>
      </c>
      <c r="AM103" s="675">
        <f t="shared" si="9"/>
        <v>0</v>
      </c>
      <c r="AN103" s="674">
        <f t="shared" si="9"/>
        <v>1241690.53</v>
      </c>
      <c r="AO103" s="675">
        <f t="shared" si="9"/>
        <v>201704.43</v>
      </c>
    </row>
    <row r="104" spans="1:41" ht="12.75">
      <c r="A104" s="34" t="s">
        <v>128</v>
      </c>
      <c r="B104" s="674">
        <f>+B45+B56+B76</f>
        <v>3024088.2600000002</v>
      </c>
      <c r="C104" s="675">
        <f>+C45+C56+C76</f>
        <v>851627.5599999999</v>
      </c>
      <c r="D104" s="674">
        <f aca="true" t="shared" si="10" ref="D104:L104">+D45+D56+D76</f>
        <v>3403733.23</v>
      </c>
      <c r="E104" s="675">
        <f t="shared" si="10"/>
        <v>605851.63</v>
      </c>
      <c r="F104" s="674">
        <f t="shared" si="10"/>
        <v>3819363.42</v>
      </c>
      <c r="G104" s="675">
        <f t="shared" si="10"/>
        <v>334899.55000000005</v>
      </c>
      <c r="H104" s="674">
        <f t="shared" si="10"/>
        <v>3208053.9</v>
      </c>
      <c r="I104" s="675">
        <f t="shared" si="10"/>
        <v>175829.77000000002</v>
      </c>
      <c r="J104" s="674">
        <f t="shared" si="10"/>
        <v>2968127.27</v>
      </c>
      <c r="K104" s="675">
        <f t="shared" si="10"/>
        <v>97471.96</v>
      </c>
      <c r="L104" s="674">
        <f t="shared" si="10"/>
        <v>3229199.59</v>
      </c>
      <c r="M104" s="675">
        <f aca="true" t="shared" si="11" ref="M104:AE104">+M45+M56+M76</f>
        <v>40823.32</v>
      </c>
      <c r="N104" s="674">
        <f t="shared" si="11"/>
        <v>327571.1299999658</v>
      </c>
      <c r="O104" s="675">
        <f t="shared" si="11"/>
        <v>558.49</v>
      </c>
      <c r="P104" s="674">
        <f t="shared" si="11"/>
        <v>0</v>
      </c>
      <c r="Q104" s="675">
        <f t="shared" si="11"/>
        <v>0</v>
      </c>
      <c r="R104" s="674">
        <f t="shared" si="11"/>
        <v>0</v>
      </c>
      <c r="S104" s="675">
        <f t="shared" si="11"/>
        <v>0</v>
      </c>
      <c r="T104" s="674">
        <f t="shared" si="11"/>
        <v>0</v>
      </c>
      <c r="U104" s="675">
        <f t="shared" si="11"/>
        <v>0</v>
      </c>
      <c r="V104" s="674">
        <f t="shared" si="11"/>
        <v>0</v>
      </c>
      <c r="W104" s="675">
        <f t="shared" si="11"/>
        <v>0</v>
      </c>
      <c r="X104" s="674">
        <f t="shared" si="11"/>
        <v>0</v>
      </c>
      <c r="Y104" s="675">
        <f t="shared" si="11"/>
        <v>0</v>
      </c>
      <c r="Z104" s="674">
        <f t="shared" si="11"/>
        <v>0</v>
      </c>
      <c r="AA104" s="675">
        <f t="shared" si="11"/>
        <v>0</v>
      </c>
      <c r="AB104" s="674">
        <f t="shared" si="11"/>
        <v>0</v>
      </c>
      <c r="AC104" s="675">
        <f t="shared" si="11"/>
        <v>0</v>
      </c>
      <c r="AD104" s="674">
        <f t="shared" si="11"/>
        <v>0</v>
      </c>
      <c r="AE104" s="675">
        <f t="shared" si="11"/>
        <v>0</v>
      </c>
      <c r="AF104" s="674">
        <f aca="true" t="shared" si="12" ref="AF104:AO104">+AF45+AF56+AF76</f>
        <v>0</v>
      </c>
      <c r="AG104" s="675">
        <f t="shared" si="12"/>
        <v>0</v>
      </c>
      <c r="AH104" s="674">
        <f t="shared" si="12"/>
        <v>0</v>
      </c>
      <c r="AI104" s="675">
        <f t="shared" si="12"/>
        <v>0</v>
      </c>
      <c r="AJ104" s="674">
        <f t="shared" si="12"/>
        <v>0</v>
      </c>
      <c r="AK104" s="675">
        <f t="shared" si="12"/>
        <v>0</v>
      </c>
      <c r="AL104" s="674">
        <f t="shared" si="12"/>
        <v>0</v>
      </c>
      <c r="AM104" s="675">
        <f t="shared" si="12"/>
        <v>0</v>
      </c>
      <c r="AN104" s="674">
        <f t="shared" si="12"/>
        <v>19980136.799999967</v>
      </c>
      <c r="AO104" s="675">
        <f t="shared" si="12"/>
        <v>2107062.2800000003</v>
      </c>
    </row>
    <row r="105" spans="1:41" ht="12.75">
      <c r="A105" s="34" t="s">
        <v>84</v>
      </c>
      <c r="B105" s="672">
        <f aca="true" t="shared" si="13" ref="B105:AO105">+B20+B46+B62+B77</f>
        <v>5431383.21</v>
      </c>
      <c r="C105" s="673">
        <f t="shared" si="13"/>
        <v>1546696.2499999998</v>
      </c>
      <c r="D105" s="672">
        <f t="shared" si="13"/>
        <v>5564133.18</v>
      </c>
      <c r="E105" s="673">
        <f t="shared" si="13"/>
        <v>816945.84</v>
      </c>
      <c r="F105" s="672">
        <f t="shared" si="13"/>
        <v>1870154.3800000001</v>
      </c>
      <c r="G105" s="673">
        <f t="shared" si="13"/>
        <v>369479.57999999996</v>
      </c>
      <c r="H105" s="672">
        <f t="shared" si="13"/>
        <v>1022612.17</v>
      </c>
      <c r="I105" s="673">
        <f t="shared" si="13"/>
        <v>283223.05</v>
      </c>
      <c r="J105" s="672">
        <f t="shared" si="13"/>
        <v>1096058.52</v>
      </c>
      <c r="K105" s="673">
        <f t="shared" si="13"/>
        <v>223230.6</v>
      </c>
      <c r="L105" s="672">
        <f t="shared" si="13"/>
        <v>1175397.5</v>
      </c>
      <c r="M105" s="673">
        <f t="shared" si="13"/>
        <v>157211.65</v>
      </c>
      <c r="N105" s="672">
        <f t="shared" si="13"/>
        <v>1261137.6800000002</v>
      </c>
      <c r="O105" s="673">
        <f t="shared" si="13"/>
        <v>85100.27</v>
      </c>
      <c r="P105" s="672">
        <f t="shared" si="13"/>
        <v>671273.6799999999</v>
      </c>
      <c r="Q105" s="673">
        <f t="shared" si="13"/>
        <v>28899.760000000002</v>
      </c>
      <c r="R105" s="672">
        <f t="shared" si="13"/>
        <v>564760.83</v>
      </c>
      <c r="S105" s="673">
        <f t="shared" si="13"/>
        <v>17408.38</v>
      </c>
      <c r="T105" s="672">
        <f t="shared" si="13"/>
        <v>589809.8</v>
      </c>
      <c r="U105" s="673">
        <f t="shared" si="13"/>
        <v>6322.35</v>
      </c>
      <c r="V105" s="672">
        <f t="shared" si="13"/>
        <v>0</v>
      </c>
      <c r="W105" s="673">
        <f t="shared" si="13"/>
        <v>0</v>
      </c>
      <c r="X105" s="672">
        <f t="shared" si="13"/>
        <v>0</v>
      </c>
      <c r="Y105" s="673">
        <f t="shared" si="13"/>
        <v>0</v>
      </c>
      <c r="Z105" s="672">
        <f t="shared" si="13"/>
        <v>0</v>
      </c>
      <c r="AA105" s="673">
        <f t="shared" si="13"/>
        <v>0</v>
      </c>
      <c r="AB105" s="672">
        <f t="shared" si="13"/>
        <v>0</v>
      </c>
      <c r="AC105" s="673">
        <f t="shared" si="13"/>
        <v>0</v>
      </c>
      <c r="AD105" s="672">
        <f t="shared" si="13"/>
        <v>0</v>
      </c>
      <c r="AE105" s="673">
        <f t="shared" si="13"/>
        <v>0</v>
      </c>
      <c r="AF105" s="672">
        <f t="shared" si="13"/>
        <v>0</v>
      </c>
      <c r="AG105" s="673">
        <f t="shared" si="13"/>
        <v>0</v>
      </c>
      <c r="AH105" s="672">
        <f t="shared" si="13"/>
        <v>0</v>
      </c>
      <c r="AI105" s="673">
        <f t="shared" si="13"/>
        <v>0</v>
      </c>
      <c r="AJ105" s="672">
        <f t="shared" si="13"/>
        <v>0</v>
      </c>
      <c r="AK105" s="673">
        <f t="shared" si="13"/>
        <v>0</v>
      </c>
      <c r="AL105" s="672">
        <f t="shared" si="13"/>
        <v>0</v>
      </c>
      <c r="AM105" s="673">
        <f t="shared" si="13"/>
        <v>0</v>
      </c>
      <c r="AN105" s="672">
        <f t="shared" si="13"/>
        <v>19246720.950000003</v>
      </c>
      <c r="AO105" s="673">
        <f t="shared" si="13"/>
        <v>3534517.7300000004</v>
      </c>
    </row>
    <row r="106" spans="1:41" ht="12.75">
      <c r="A106" s="34" t="s">
        <v>5</v>
      </c>
      <c r="B106" s="674">
        <f>+B47</f>
        <v>1101605.88</v>
      </c>
      <c r="C106" s="675">
        <f>+C47</f>
        <v>303288.68</v>
      </c>
      <c r="D106" s="674">
        <f aca="true" t="shared" si="14" ref="D106:L106">+D47</f>
        <v>1241317.06</v>
      </c>
      <c r="E106" s="675">
        <f t="shared" si="14"/>
        <v>163577.48</v>
      </c>
      <c r="F106" s="674">
        <f t="shared" si="14"/>
        <v>678502.78</v>
      </c>
      <c r="G106" s="675">
        <f t="shared" si="14"/>
        <v>23944.5</v>
      </c>
      <c r="H106" s="674">
        <f t="shared" si="14"/>
        <v>0</v>
      </c>
      <c r="I106" s="675">
        <f t="shared" si="14"/>
        <v>0</v>
      </c>
      <c r="J106" s="674">
        <f t="shared" si="14"/>
        <v>0</v>
      </c>
      <c r="K106" s="675">
        <f t="shared" si="14"/>
        <v>0</v>
      </c>
      <c r="L106" s="674">
        <f t="shared" si="14"/>
        <v>0</v>
      </c>
      <c r="M106" s="675">
        <f aca="true" t="shared" si="15" ref="M106:AE106">+M47</f>
        <v>0</v>
      </c>
      <c r="N106" s="674">
        <f t="shared" si="15"/>
        <v>0</v>
      </c>
      <c r="O106" s="675">
        <f t="shared" si="15"/>
        <v>0</v>
      </c>
      <c r="P106" s="674">
        <f t="shared" si="15"/>
        <v>0</v>
      </c>
      <c r="Q106" s="675">
        <f t="shared" si="15"/>
        <v>0</v>
      </c>
      <c r="R106" s="674">
        <f t="shared" si="15"/>
        <v>0</v>
      </c>
      <c r="S106" s="675">
        <f t="shared" si="15"/>
        <v>0</v>
      </c>
      <c r="T106" s="674">
        <f t="shared" si="15"/>
        <v>0</v>
      </c>
      <c r="U106" s="675">
        <f t="shared" si="15"/>
        <v>0</v>
      </c>
      <c r="V106" s="674">
        <f t="shared" si="15"/>
        <v>0</v>
      </c>
      <c r="W106" s="675">
        <f t="shared" si="15"/>
        <v>0</v>
      </c>
      <c r="X106" s="674">
        <f t="shared" si="15"/>
        <v>0</v>
      </c>
      <c r="Y106" s="675">
        <f t="shared" si="15"/>
        <v>0</v>
      </c>
      <c r="Z106" s="674">
        <f t="shared" si="15"/>
        <v>0</v>
      </c>
      <c r="AA106" s="675">
        <f t="shared" si="15"/>
        <v>0</v>
      </c>
      <c r="AB106" s="674">
        <f t="shared" si="15"/>
        <v>0</v>
      </c>
      <c r="AC106" s="675">
        <f t="shared" si="15"/>
        <v>0</v>
      </c>
      <c r="AD106" s="674">
        <f t="shared" si="15"/>
        <v>0</v>
      </c>
      <c r="AE106" s="675">
        <f t="shared" si="15"/>
        <v>0</v>
      </c>
      <c r="AF106" s="674">
        <f aca="true" t="shared" si="16" ref="AF106:AO106">+AF47</f>
        <v>0</v>
      </c>
      <c r="AG106" s="675">
        <f t="shared" si="16"/>
        <v>0</v>
      </c>
      <c r="AH106" s="674">
        <f t="shared" si="16"/>
        <v>0</v>
      </c>
      <c r="AI106" s="675">
        <f t="shared" si="16"/>
        <v>0</v>
      </c>
      <c r="AJ106" s="674">
        <f t="shared" si="16"/>
        <v>0</v>
      </c>
      <c r="AK106" s="675">
        <f t="shared" si="16"/>
        <v>0</v>
      </c>
      <c r="AL106" s="674">
        <f t="shared" si="16"/>
        <v>0</v>
      </c>
      <c r="AM106" s="675">
        <f t="shared" si="16"/>
        <v>0</v>
      </c>
      <c r="AN106" s="674">
        <f t="shared" si="16"/>
        <v>3021425.72</v>
      </c>
      <c r="AO106" s="675">
        <f t="shared" si="16"/>
        <v>490810.66</v>
      </c>
    </row>
    <row r="107" spans="1:41" ht="12.75">
      <c r="A107" s="34" t="s">
        <v>7</v>
      </c>
      <c r="B107" s="672">
        <f aca="true" t="shared" si="17" ref="B107:AO107">+B30+B48</f>
        <v>1464510.228690193</v>
      </c>
      <c r="C107" s="673">
        <f t="shared" si="17"/>
        <v>190936.74</v>
      </c>
      <c r="D107" s="672">
        <f t="shared" si="17"/>
        <v>642050.59</v>
      </c>
      <c r="E107" s="673">
        <f t="shared" si="17"/>
        <v>84607.73</v>
      </c>
      <c r="F107" s="672">
        <f t="shared" si="17"/>
        <v>350944.27</v>
      </c>
      <c r="G107" s="673">
        <f t="shared" si="17"/>
        <v>12384.89</v>
      </c>
      <c r="H107" s="672">
        <f t="shared" si="17"/>
        <v>0</v>
      </c>
      <c r="I107" s="673">
        <f t="shared" si="17"/>
        <v>0</v>
      </c>
      <c r="J107" s="672">
        <f t="shared" si="17"/>
        <v>0</v>
      </c>
      <c r="K107" s="673">
        <f t="shared" si="17"/>
        <v>0</v>
      </c>
      <c r="L107" s="672">
        <f t="shared" si="17"/>
        <v>0</v>
      </c>
      <c r="M107" s="673">
        <f t="shared" si="17"/>
        <v>0</v>
      </c>
      <c r="N107" s="672">
        <f t="shared" si="17"/>
        <v>0</v>
      </c>
      <c r="O107" s="673">
        <f t="shared" si="17"/>
        <v>0</v>
      </c>
      <c r="P107" s="672">
        <f t="shared" si="17"/>
        <v>0</v>
      </c>
      <c r="Q107" s="673">
        <f t="shared" si="17"/>
        <v>0</v>
      </c>
      <c r="R107" s="672">
        <f t="shared" si="17"/>
        <v>0</v>
      </c>
      <c r="S107" s="673">
        <f t="shared" si="17"/>
        <v>0</v>
      </c>
      <c r="T107" s="672">
        <f t="shared" si="17"/>
        <v>0</v>
      </c>
      <c r="U107" s="673">
        <f t="shared" si="17"/>
        <v>0</v>
      </c>
      <c r="V107" s="672">
        <f t="shared" si="17"/>
        <v>0</v>
      </c>
      <c r="W107" s="673">
        <f t="shared" si="17"/>
        <v>0</v>
      </c>
      <c r="X107" s="672">
        <f t="shared" si="17"/>
        <v>0</v>
      </c>
      <c r="Y107" s="673">
        <f t="shared" si="17"/>
        <v>0</v>
      </c>
      <c r="Z107" s="672">
        <f t="shared" si="17"/>
        <v>0</v>
      </c>
      <c r="AA107" s="673">
        <f t="shared" si="17"/>
        <v>0</v>
      </c>
      <c r="AB107" s="672">
        <f t="shared" si="17"/>
        <v>0</v>
      </c>
      <c r="AC107" s="673">
        <f t="shared" si="17"/>
        <v>0</v>
      </c>
      <c r="AD107" s="672">
        <f t="shared" si="17"/>
        <v>0</v>
      </c>
      <c r="AE107" s="673">
        <f t="shared" si="17"/>
        <v>0</v>
      </c>
      <c r="AF107" s="672">
        <f t="shared" si="17"/>
        <v>0</v>
      </c>
      <c r="AG107" s="673">
        <f t="shared" si="17"/>
        <v>0</v>
      </c>
      <c r="AH107" s="672">
        <f t="shared" si="17"/>
        <v>0</v>
      </c>
      <c r="AI107" s="673">
        <f t="shared" si="17"/>
        <v>0</v>
      </c>
      <c r="AJ107" s="672">
        <f t="shared" si="17"/>
        <v>0</v>
      </c>
      <c r="AK107" s="673">
        <f t="shared" si="17"/>
        <v>0</v>
      </c>
      <c r="AL107" s="672">
        <f t="shared" si="17"/>
        <v>0</v>
      </c>
      <c r="AM107" s="673">
        <f t="shared" si="17"/>
        <v>0</v>
      </c>
      <c r="AN107" s="672">
        <f t="shared" si="17"/>
        <v>2457505.088690193</v>
      </c>
      <c r="AO107" s="673">
        <f t="shared" si="17"/>
        <v>287929.36</v>
      </c>
    </row>
    <row r="108" spans="1:41" ht="12.75">
      <c r="A108" s="34" t="s">
        <v>23</v>
      </c>
      <c r="B108" s="672">
        <f>+B63</f>
        <v>766872.98</v>
      </c>
      <c r="C108" s="673">
        <f>+C63</f>
        <v>161221.72</v>
      </c>
      <c r="D108" s="672">
        <f aca="true" t="shared" si="18" ref="D108:L108">+D63</f>
        <v>862726.27</v>
      </c>
      <c r="E108" s="673">
        <f t="shared" si="18"/>
        <v>65368.41</v>
      </c>
      <c r="F108" s="672">
        <f t="shared" si="18"/>
        <v>76585.85</v>
      </c>
      <c r="G108" s="673">
        <f t="shared" si="18"/>
        <v>755.38</v>
      </c>
      <c r="H108" s="672">
        <f t="shared" si="18"/>
        <v>0</v>
      </c>
      <c r="I108" s="673">
        <f t="shared" si="18"/>
        <v>0</v>
      </c>
      <c r="J108" s="672">
        <f t="shared" si="18"/>
        <v>0</v>
      </c>
      <c r="K108" s="673">
        <f t="shared" si="18"/>
        <v>0</v>
      </c>
      <c r="L108" s="672">
        <f t="shared" si="18"/>
        <v>0</v>
      </c>
      <c r="M108" s="673">
        <f aca="true" t="shared" si="19" ref="M108:AE108">+M63</f>
        <v>0</v>
      </c>
      <c r="N108" s="672">
        <f t="shared" si="19"/>
        <v>0</v>
      </c>
      <c r="O108" s="673">
        <f t="shared" si="19"/>
        <v>0</v>
      </c>
      <c r="P108" s="672">
        <f t="shared" si="19"/>
        <v>0</v>
      </c>
      <c r="Q108" s="673">
        <f t="shared" si="19"/>
        <v>0</v>
      </c>
      <c r="R108" s="672">
        <f t="shared" si="19"/>
        <v>0</v>
      </c>
      <c r="S108" s="673">
        <f t="shared" si="19"/>
        <v>0</v>
      </c>
      <c r="T108" s="672">
        <f t="shared" si="19"/>
        <v>0</v>
      </c>
      <c r="U108" s="673">
        <f t="shared" si="19"/>
        <v>0</v>
      </c>
      <c r="V108" s="672">
        <f t="shared" si="19"/>
        <v>0</v>
      </c>
      <c r="W108" s="673">
        <f t="shared" si="19"/>
        <v>0</v>
      </c>
      <c r="X108" s="672">
        <f t="shared" si="19"/>
        <v>0</v>
      </c>
      <c r="Y108" s="673">
        <f t="shared" si="19"/>
        <v>0</v>
      </c>
      <c r="Z108" s="672">
        <f t="shared" si="19"/>
        <v>0</v>
      </c>
      <c r="AA108" s="673">
        <f t="shared" si="19"/>
        <v>0</v>
      </c>
      <c r="AB108" s="672">
        <f t="shared" si="19"/>
        <v>0</v>
      </c>
      <c r="AC108" s="673">
        <f t="shared" si="19"/>
        <v>0</v>
      </c>
      <c r="AD108" s="672">
        <f t="shared" si="19"/>
        <v>0</v>
      </c>
      <c r="AE108" s="673">
        <f t="shared" si="19"/>
        <v>0</v>
      </c>
      <c r="AF108" s="672">
        <f aca="true" t="shared" si="20" ref="AF108:AO108">+AF63</f>
        <v>0</v>
      </c>
      <c r="AG108" s="673">
        <f t="shared" si="20"/>
        <v>0</v>
      </c>
      <c r="AH108" s="672">
        <f t="shared" si="20"/>
        <v>0</v>
      </c>
      <c r="AI108" s="673">
        <f t="shared" si="20"/>
        <v>0</v>
      </c>
      <c r="AJ108" s="672">
        <f t="shared" si="20"/>
        <v>0</v>
      </c>
      <c r="AK108" s="673">
        <f t="shared" si="20"/>
        <v>0</v>
      </c>
      <c r="AL108" s="672">
        <f t="shared" si="20"/>
        <v>0</v>
      </c>
      <c r="AM108" s="673">
        <f t="shared" si="20"/>
        <v>0</v>
      </c>
      <c r="AN108" s="672">
        <f t="shared" si="20"/>
        <v>1706185.1</v>
      </c>
      <c r="AO108" s="673">
        <f t="shared" si="20"/>
        <v>227345.51</v>
      </c>
    </row>
    <row r="109" spans="1:41" ht="12.75">
      <c r="A109" s="34" t="s">
        <v>105</v>
      </c>
      <c r="B109" s="672">
        <f aca="true" t="shared" si="21" ref="B109:AO109">+B21+B49+B64+B78</f>
        <v>2883829.17</v>
      </c>
      <c r="C109" s="673">
        <f t="shared" si="21"/>
        <v>2545118.129178082</v>
      </c>
      <c r="D109" s="672">
        <f t="shared" si="21"/>
        <v>4318674.4</v>
      </c>
      <c r="E109" s="673">
        <f t="shared" si="21"/>
        <v>2094338.4700000002</v>
      </c>
      <c r="F109" s="672">
        <f t="shared" si="21"/>
        <v>4234241.11</v>
      </c>
      <c r="G109" s="673">
        <f t="shared" si="21"/>
        <v>1541560.52</v>
      </c>
      <c r="H109" s="672">
        <f t="shared" si="21"/>
        <v>4103064.17</v>
      </c>
      <c r="I109" s="673">
        <f t="shared" si="21"/>
        <v>1029819.03</v>
      </c>
      <c r="J109" s="672">
        <f t="shared" si="21"/>
        <v>4399851.46</v>
      </c>
      <c r="K109" s="673">
        <f t="shared" si="21"/>
        <v>458548.69000000006</v>
      </c>
      <c r="L109" s="672">
        <f t="shared" si="21"/>
        <v>1142940.37</v>
      </c>
      <c r="M109" s="673">
        <f t="shared" si="21"/>
        <v>101358.5</v>
      </c>
      <c r="N109" s="672">
        <f t="shared" si="21"/>
        <v>828118.7</v>
      </c>
      <c r="O109" s="673">
        <f t="shared" si="21"/>
        <v>58568.61</v>
      </c>
      <c r="P109" s="672">
        <f t="shared" si="21"/>
        <v>864848.06</v>
      </c>
      <c r="Q109" s="673">
        <f t="shared" si="21"/>
        <v>43867.76</v>
      </c>
      <c r="R109" s="672">
        <f t="shared" si="21"/>
        <v>903206.19</v>
      </c>
      <c r="S109" s="673">
        <f t="shared" si="21"/>
        <v>27840.92</v>
      </c>
      <c r="T109" s="672">
        <f t="shared" si="21"/>
        <v>943266</v>
      </c>
      <c r="U109" s="673">
        <f t="shared" si="21"/>
        <v>10111.11</v>
      </c>
      <c r="V109" s="672">
        <f t="shared" si="21"/>
        <v>0</v>
      </c>
      <c r="W109" s="673">
        <f t="shared" si="21"/>
        <v>0</v>
      </c>
      <c r="X109" s="672">
        <f t="shared" si="21"/>
        <v>0</v>
      </c>
      <c r="Y109" s="673">
        <f t="shared" si="21"/>
        <v>0</v>
      </c>
      <c r="Z109" s="672">
        <f t="shared" si="21"/>
        <v>0</v>
      </c>
      <c r="AA109" s="673">
        <f t="shared" si="21"/>
        <v>0</v>
      </c>
      <c r="AB109" s="672">
        <f t="shared" si="21"/>
        <v>0</v>
      </c>
      <c r="AC109" s="673">
        <f t="shared" si="21"/>
        <v>0</v>
      </c>
      <c r="AD109" s="672">
        <f t="shared" si="21"/>
        <v>0</v>
      </c>
      <c r="AE109" s="673">
        <f t="shared" si="21"/>
        <v>0</v>
      </c>
      <c r="AF109" s="672">
        <f t="shared" si="21"/>
        <v>0</v>
      </c>
      <c r="AG109" s="673">
        <f t="shared" si="21"/>
        <v>0</v>
      </c>
      <c r="AH109" s="672">
        <f t="shared" si="21"/>
        <v>0</v>
      </c>
      <c r="AI109" s="673">
        <f t="shared" si="21"/>
        <v>0</v>
      </c>
      <c r="AJ109" s="672">
        <f t="shared" si="21"/>
        <v>0</v>
      </c>
      <c r="AK109" s="673">
        <f t="shared" si="21"/>
        <v>0</v>
      </c>
      <c r="AL109" s="672">
        <f t="shared" si="21"/>
        <v>0</v>
      </c>
      <c r="AM109" s="673">
        <f t="shared" si="21"/>
        <v>0</v>
      </c>
      <c r="AN109" s="672">
        <f t="shared" si="21"/>
        <v>24622039.63</v>
      </c>
      <c r="AO109" s="673">
        <f t="shared" si="21"/>
        <v>7911131.739178081</v>
      </c>
    </row>
    <row r="110" spans="1:41" ht="12.75">
      <c r="A110" s="34" t="s">
        <v>4</v>
      </c>
      <c r="B110" s="672">
        <f aca="true" t="shared" si="22" ref="B110:AO110">+B22+B50+B65+B66</f>
        <v>2457215.5700000003</v>
      </c>
      <c r="C110" s="673">
        <f t="shared" si="22"/>
        <v>833114.77</v>
      </c>
      <c r="D110" s="672">
        <f t="shared" si="22"/>
        <v>2829697.61</v>
      </c>
      <c r="E110" s="673">
        <f t="shared" si="22"/>
        <v>514884.85</v>
      </c>
      <c r="F110" s="672">
        <f t="shared" si="22"/>
        <v>2134027.02</v>
      </c>
      <c r="G110" s="673">
        <f t="shared" si="22"/>
        <v>165012.23</v>
      </c>
      <c r="H110" s="672">
        <f t="shared" si="22"/>
        <v>545125.55</v>
      </c>
      <c r="I110" s="673">
        <f t="shared" si="22"/>
        <v>71264.55</v>
      </c>
      <c r="J110" s="672">
        <f t="shared" si="22"/>
        <v>569303.41</v>
      </c>
      <c r="K110" s="673">
        <f t="shared" si="22"/>
        <v>63219.76</v>
      </c>
      <c r="L110" s="672">
        <f t="shared" si="22"/>
        <v>594553.66</v>
      </c>
      <c r="M110" s="673">
        <f t="shared" si="22"/>
        <v>53941.95</v>
      </c>
      <c r="N110" s="672">
        <f t="shared" si="22"/>
        <v>620923.85</v>
      </c>
      <c r="O110" s="673">
        <f t="shared" si="22"/>
        <v>43914.77</v>
      </c>
      <c r="P110" s="672">
        <f t="shared" si="22"/>
        <v>648463.58</v>
      </c>
      <c r="Q110" s="673">
        <f t="shared" si="22"/>
        <v>32892.07</v>
      </c>
      <c r="R110" s="672">
        <f t="shared" si="22"/>
        <v>677224.82</v>
      </c>
      <c r="S110" s="673">
        <f t="shared" si="22"/>
        <v>20875.13</v>
      </c>
      <c r="T110" s="672">
        <f t="shared" si="22"/>
        <v>707261.67</v>
      </c>
      <c r="U110" s="673">
        <f t="shared" si="22"/>
        <v>7581.39</v>
      </c>
      <c r="V110" s="672">
        <f t="shared" si="22"/>
        <v>0</v>
      </c>
      <c r="W110" s="673">
        <f t="shared" si="22"/>
        <v>0</v>
      </c>
      <c r="X110" s="672">
        <f t="shared" si="22"/>
        <v>0</v>
      </c>
      <c r="Y110" s="673">
        <f t="shared" si="22"/>
        <v>0</v>
      </c>
      <c r="Z110" s="672">
        <f t="shared" si="22"/>
        <v>0</v>
      </c>
      <c r="AA110" s="673">
        <f t="shared" si="22"/>
        <v>0</v>
      </c>
      <c r="AB110" s="672">
        <f t="shared" si="22"/>
        <v>0</v>
      </c>
      <c r="AC110" s="673">
        <f t="shared" si="22"/>
        <v>0</v>
      </c>
      <c r="AD110" s="672">
        <f t="shared" si="22"/>
        <v>0</v>
      </c>
      <c r="AE110" s="673">
        <f t="shared" si="22"/>
        <v>0</v>
      </c>
      <c r="AF110" s="672">
        <f t="shared" si="22"/>
        <v>0</v>
      </c>
      <c r="AG110" s="673">
        <f t="shared" si="22"/>
        <v>0</v>
      </c>
      <c r="AH110" s="672">
        <f t="shared" si="22"/>
        <v>0</v>
      </c>
      <c r="AI110" s="673">
        <f t="shared" si="22"/>
        <v>0</v>
      </c>
      <c r="AJ110" s="672">
        <f t="shared" si="22"/>
        <v>0</v>
      </c>
      <c r="AK110" s="673">
        <f t="shared" si="22"/>
        <v>0</v>
      </c>
      <c r="AL110" s="672">
        <f t="shared" si="22"/>
        <v>0</v>
      </c>
      <c r="AM110" s="673">
        <f t="shared" si="22"/>
        <v>0</v>
      </c>
      <c r="AN110" s="672">
        <f t="shared" si="22"/>
        <v>11783796.739999998</v>
      </c>
      <c r="AO110" s="673">
        <f t="shared" si="22"/>
        <v>1806701.47</v>
      </c>
    </row>
    <row r="111" spans="1:41" ht="12.75">
      <c r="A111" s="34" t="s">
        <v>10</v>
      </c>
      <c r="B111" s="672">
        <f aca="true" t="shared" si="23" ref="B111:AO111">+B23+B51+B67+B70</f>
        <v>1788557.72</v>
      </c>
      <c r="C111" s="673">
        <f t="shared" si="23"/>
        <v>895431.61</v>
      </c>
      <c r="D111" s="672">
        <f t="shared" si="23"/>
        <v>2033614.16</v>
      </c>
      <c r="E111" s="673">
        <f t="shared" si="23"/>
        <v>659250.19</v>
      </c>
      <c r="F111" s="672">
        <f t="shared" si="23"/>
        <v>1862577.23</v>
      </c>
      <c r="G111" s="673">
        <f t="shared" si="23"/>
        <v>396906</v>
      </c>
      <c r="H111" s="672">
        <f t="shared" si="23"/>
        <v>1664119.08</v>
      </c>
      <c r="I111" s="673">
        <f t="shared" si="23"/>
        <v>168343.82</v>
      </c>
      <c r="J111" s="672">
        <f t="shared" si="23"/>
        <v>308769.84</v>
      </c>
      <c r="K111" s="673">
        <f t="shared" si="23"/>
        <v>20971.32</v>
      </c>
      <c r="L111" s="672">
        <f t="shared" si="23"/>
        <v>181116.83</v>
      </c>
      <c r="M111" s="673">
        <f t="shared" si="23"/>
        <v>16432.12</v>
      </c>
      <c r="N111" s="672">
        <f t="shared" si="23"/>
        <v>189149.88</v>
      </c>
      <c r="O111" s="673">
        <f t="shared" si="23"/>
        <v>13377.59</v>
      </c>
      <c r="P111" s="672">
        <f t="shared" si="23"/>
        <v>197539.24</v>
      </c>
      <c r="Q111" s="673">
        <f t="shared" si="23"/>
        <v>10019.84</v>
      </c>
      <c r="R111" s="672">
        <f t="shared" si="23"/>
        <v>206300.65</v>
      </c>
      <c r="S111" s="673">
        <f t="shared" si="23"/>
        <v>6359.12</v>
      </c>
      <c r="T111" s="672">
        <f t="shared" si="23"/>
        <v>215450.69</v>
      </c>
      <c r="U111" s="673">
        <f t="shared" si="23"/>
        <v>2309.57</v>
      </c>
      <c r="V111" s="672">
        <f t="shared" si="23"/>
        <v>0</v>
      </c>
      <c r="W111" s="673">
        <f t="shared" si="23"/>
        <v>0</v>
      </c>
      <c r="X111" s="672">
        <f t="shared" si="23"/>
        <v>0</v>
      </c>
      <c r="Y111" s="673">
        <f t="shared" si="23"/>
        <v>0</v>
      </c>
      <c r="Z111" s="672">
        <f t="shared" si="23"/>
        <v>0</v>
      </c>
      <c r="AA111" s="673">
        <f t="shared" si="23"/>
        <v>0</v>
      </c>
      <c r="AB111" s="672">
        <f t="shared" si="23"/>
        <v>0</v>
      </c>
      <c r="AC111" s="673">
        <f t="shared" si="23"/>
        <v>0</v>
      </c>
      <c r="AD111" s="672">
        <f t="shared" si="23"/>
        <v>0</v>
      </c>
      <c r="AE111" s="673">
        <f t="shared" si="23"/>
        <v>0</v>
      </c>
      <c r="AF111" s="672">
        <f t="shared" si="23"/>
        <v>0</v>
      </c>
      <c r="AG111" s="673">
        <f t="shared" si="23"/>
        <v>0</v>
      </c>
      <c r="AH111" s="672">
        <f t="shared" si="23"/>
        <v>0</v>
      </c>
      <c r="AI111" s="673">
        <f t="shared" si="23"/>
        <v>0</v>
      </c>
      <c r="AJ111" s="672">
        <f t="shared" si="23"/>
        <v>0</v>
      </c>
      <c r="AK111" s="673">
        <f t="shared" si="23"/>
        <v>0</v>
      </c>
      <c r="AL111" s="672">
        <f t="shared" si="23"/>
        <v>0</v>
      </c>
      <c r="AM111" s="673">
        <f t="shared" si="23"/>
        <v>0</v>
      </c>
      <c r="AN111" s="672">
        <f t="shared" si="23"/>
        <v>8647195.32</v>
      </c>
      <c r="AO111" s="673">
        <f t="shared" si="23"/>
        <v>2189401.1799999997</v>
      </c>
    </row>
    <row r="112" spans="1:41" ht="12.75">
      <c r="A112" s="34" t="s">
        <v>95</v>
      </c>
      <c r="B112" s="672">
        <f aca="true" t="shared" si="24" ref="B112:AO112">+B24+B52+B57</f>
        <v>2490243.16</v>
      </c>
      <c r="C112" s="673">
        <f t="shared" si="24"/>
        <v>544445.4299999999</v>
      </c>
      <c r="D112" s="672">
        <f t="shared" si="24"/>
        <v>2804955</v>
      </c>
      <c r="E112" s="673">
        <f t="shared" si="24"/>
        <v>439750.75999999995</v>
      </c>
      <c r="F112" s="672">
        <f t="shared" si="24"/>
        <v>2536249.19</v>
      </c>
      <c r="G112" s="673">
        <f t="shared" si="24"/>
        <v>316869.44</v>
      </c>
      <c r="H112" s="672">
        <f t="shared" si="24"/>
        <v>2151646.35</v>
      </c>
      <c r="I112" s="673">
        <f t="shared" si="24"/>
        <v>275095.35</v>
      </c>
      <c r="J112" s="672">
        <f t="shared" si="24"/>
        <v>2249820.28</v>
      </c>
      <c r="K112" s="673">
        <f t="shared" si="24"/>
        <v>243391.62</v>
      </c>
      <c r="L112" s="672">
        <f t="shared" si="24"/>
        <v>2351948.42</v>
      </c>
      <c r="M112" s="673">
        <f t="shared" si="24"/>
        <v>206719.27000000002</v>
      </c>
      <c r="N112" s="672">
        <f t="shared" si="24"/>
        <v>2321231.5899999994</v>
      </c>
      <c r="O112" s="673">
        <f t="shared" si="24"/>
        <v>163670.16</v>
      </c>
      <c r="P112" s="672">
        <f t="shared" si="24"/>
        <v>2410683.88</v>
      </c>
      <c r="Q112" s="673">
        <f t="shared" si="24"/>
        <v>122277.27</v>
      </c>
      <c r="R112" s="672">
        <f t="shared" si="24"/>
        <v>2517604.65</v>
      </c>
      <c r="S112" s="673">
        <f t="shared" si="24"/>
        <v>77603.96</v>
      </c>
      <c r="T112" s="672">
        <f t="shared" si="24"/>
        <v>2629267.64</v>
      </c>
      <c r="U112" s="673">
        <f t="shared" si="24"/>
        <v>28184.04</v>
      </c>
      <c r="V112" s="672">
        <f t="shared" si="24"/>
        <v>0</v>
      </c>
      <c r="W112" s="673">
        <f t="shared" si="24"/>
        <v>0</v>
      </c>
      <c r="X112" s="672">
        <f t="shared" si="24"/>
        <v>0</v>
      </c>
      <c r="Y112" s="673">
        <f t="shared" si="24"/>
        <v>0</v>
      </c>
      <c r="Z112" s="672">
        <f t="shared" si="24"/>
        <v>0</v>
      </c>
      <c r="AA112" s="673">
        <f t="shared" si="24"/>
        <v>0</v>
      </c>
      <c r="AB112" s="672">
        <f t="shared" si="24"/>
        <v>0</v>
      </c>
      <c r="AC112" s="673">
        <f t="shared" si="24"/>
        <v>0</v>
      </c>
      <c r="AD112" s="672">
        <f t="shared" si="24"/>
        <v>0</v>
      </c>
      <c r="AE112" s="673">
        <f t="shared" si="24"/>
        <v>0</v>
      </c>
      <c r="AF112" s="672">
        <f t="shared" si="24"/>
        <v>0</v>
      </c>
      <c r="AG112" s="673">
        <f t="shared" si="24"/>
        <v>0</v>
      </c>
      <c r="AH112" s="672">
        <f t="shared" si="24"/>
        <v>0</v>
      </c>
      <c r="AI112" s="673">
        <f t="shared" si="24"/>
        <v>0</v>
      </c>
      <c r="AJ112" s="672">
        <f t="shared" si="24"/>
        <v>0</v>
      </c>
      <c r="AK112" s="673">
        <f t="shared" si="24"/>
        <v>0</v>
      </c>
      <c r="AL112" s="672">
        <f t="shared" si="24"/>
        <v>0</v>
      </c>
      <c r="AM112" s="673">
        <f t="shared" si="24"/>
        <v>0</v>
      </c>
      <c r="AN112" s="672">
        <f t="shared" si="24"/>
        <v>24463650.159999996</v>
      </c>
      <c r="AO112" s="673">
        <f t="shared" si="24"/>
        <v>2418007.3000000003</v>
      </c>
    </row>
    <row r="113" spans="1:41" ht="13.5" thickBot="1">
      <c r="A113" s="34" t="s">
        <v>6</v>
      </c>
      <c r="B113" s="676">
        <f>+B53+B79</f>
        <v>373103.66000000003</v>
      </c>
      <c r="C113" s="677">
        <f>+C53+C79</f>
        <v>70225.08</v>
      </c>
      <c r="D113" s="676">
        <f aca="true" t="shared" si="25" ref="D113:L113">+D53+D79</f>
        <v>405453.14</v>
      </c>
      <c r="E113" s="677">
        <f t="shared" si="25"/>
        <v>37875.58</v>
      </c>
      <c r="F113" s="676">
        <f t="shared" si="25"/>
        <v>275136.14</v>
      </c>
      <c r="G113" s="677">
        <f t="shared" si="25"/>
        <v>5544.24</v>
      </c>
      <c r="H113" s="676">
        <f t="shared" si="25"/>
        <v>118032</v>
      </c>
      <c r="I113" s="677">
        <f t="shared" si="25"/>
        <v>0</v>
      </c>
      <c r="J113" s="676">
        <f t="shared" si="25"/>
        <v>118032</v>
      </c>
      <c r="K113" s="677">
        <f t="shared" si="25"/>
        <v>0</v>
      </c>
      <c r="L113" s="676">
        <f t="shared" si="25"/>
        <v>118032</v>
      </c>
      <c r="M113" s="677">
        <f aca="true" t="shared" si="26" ref="M113:AE113">+M53+M79</f>
        <v>0</v>
      </c>
      <c r="N113" s="676">
        <f t="shared" si="26"/>
        <v>118032</v>
      </c>
      <c r="O113" s="677">
        <f t="shared" si="26"/>
        <v>0</v>
      </c>
      <c r="P113" s="676">
        <f t="shared" si="26"/>
        <v>118032</v>
      </c>
      <c r="Q113" s="677">
        <f t="shared" si="26"/>
        <v>0</v>
      </c>
      <c r="R113" s="676">
        <f t="shared" si="26"/>
        <v>118032</v>
      </c>
      <c r="S113" s="677">
        <f t="shared" si="26"/>
        <v>0</v>
      </c>
      <c r="T113" s="676">
        <f t="shared" si="26"/>
        <v>0</v>
      </c>
      <c r="U113" s="677">
        <f t="shared" si="26"/>
        <v>0</v>
      </c>
      <c r="V113" s="676">
        <f t="shared" si="26"/>
        <v>0</v>
      </c>
      <c r="W113" s="677">
        <f t="shared" si="26"/>
        <v>0</v>
      </c>
      <c r="X113" s="676">
        <f t="shared" si="26"/>
        <v>0</v>
      </c>
      <c r="Y113" s="677">
        <f t="shared" si="26"/>
        <v>0</v>
      </c>
      <c r="Z113" s="676">
        <f t="shared" si="26"/>
        <v>0</v>
      </c>
      <c r="AA113" s="677">
        <f t="shared" si="26"/>
        <v>0</v>
      </c>
      <c r="AB113" s="676">
        <f t="shared" si="26"/>
        <v>0</v>
      </c>
      <c r="AC113" s="677">
        <f t="shared" si="26"/>
        <v>0</v>
      </c>
      <c r="AD113" s="676">
        <f t="shared" si="26"/>
        <v>0</v>
      </c>
      <c r="AE113" s="677">
        <f t="shared" si="26"/>
        <v>0</v>
      </c>
      <c r="AF113" s="676">
        <f aca="true" t="shared" si="27" ref="AF113:AO113">+AF53+AF79</f>
        <v>0</v>
      </c>
      <c r="AG113" s="677">
        <f t="shared" si="27"/>
        <v>0</v>
      </c>
      <c r="AH113" s="676">
        <f t="shared" si="27"/>
        <v>0</v>
      </c>
      <c r="AI113" s="677">
        <f t="shared" si="27"/>
        <v>0</v>
      </c>
      <c r="AJ113" s="676">
        <f t="shared" si="27"/>
        <v>0</v>
      </c>
      <c r="AK113" s="677">
        <f t="shared" si="27"/>
        <v>0</v>
      </c>
      <c r="AL113" s="676">
        <f t="shared" si="27"/>
        <v>0</v>
      </c>
      <c r="AM113" s="677">
        <f t="shared" si="27"/>
        <v>0</v>
      </c>
      <c r="AN113" s="676">
        <f t="shared" si="27"/>
        <v>1761884.94</v>
      </c>
      <c r="AO113" s="677">
        <f t="shared" si="27"/>
        <v>113644.9</v>
      </c>
    </row>
    <row r="114" spans="1:41" ht="13.5" thickBot="1">
      <c r="A114" s="16"/>
      <c r="B114" s="678">
        <f>SUM(B96:B113)</f>
        <v>40567704.91869019</v>
      </c>
      <c r="C114" s="679">
        <f>SUM(C96:C113)</f>
        <v>15038646.90917808</v>
      </c>
      <c r="D114" s="678">
        <f aca="true" t="shared" si="28" ref="D114:L114">SUM(D96:D113)</f>
        <v>43862821.230000004</v>
      </c>
      <c r="E114" s="679">
        <f t="shared" si="28"/>
        <v>10844750.790000001</v>
      </c>
      <c r="F114" s="678">
        <f t="shared" si="28"/>
        <v>32492667.73</v>
      </c>
      <c r="G114" s="679">
        <f t="shared" si="28"/>
        <v>6925579.72</v>
      </c>
      <c r="H114" s="678">
        <f t="shared" si="28"/>
        <v>24158778</v>
      </c>
      <c r="I114" s="679">
        <f t="shared" si="28"/>
        <v>4880194.14</v>
      </c>
      <c r="J114" s="678">
        <f t="shared" si="28"/>
        <v>24029942.869999997</v>
      </c>
      <c r="K114" s="679">
        <f t="shared" si="28"/>
        <v>3137478.64</v>
      </c>
      <c r="L114" s="678">
        <f t="shared" si="28"/>
        <v>17793976.349999998</v>
      </c>
      <c r="M114" s="679">
        <f aca="true" t="shared" si="29" ref="M114:AO114">SUM(M96:M113)</f>
        <v>1786811.9999999998</v>
      </c>
      <c r="N114" s="678">
        <f t="shared" si="29"/>
        <v>12520204.099999964</v>
      </c>
      <c r="O114" s="679">
        <f t="shared" si="29"/>
        <v>1325827.77</v>
      </c>
      <c r="P114" s="678">
        <f t="shared" si="29"/>
        <v>12042124.370000001</v>
      </c>
      <c r="Q114" s="679">
        <f t="shared" si="29"/>
        <v>1051438.6099999999</v>
      </c>
      <c r="R114" s="678">
        <f t="shared" si="29"/>
        <v>12407954.230000002</v>
      </c>
      <c r="S114" s="679">
        <f t="shared" si="29"/>
        <v>807665.63</v>
      </c>
      <c r="T114" s="678">
        <f t="shared" si="29"/>
        <v>12808264.29</v>
      </c>
      <c r="U114" s="679">
        <f t="shared" si="29"/>
        <v>540807.75</v>
      </c>
      <c r="V114" s="678">
        <f t="shared" si="29"/>
        <v>603151.2</v>
      </c>
      <c r="W114" s="679">
        <f t="shared" si="29"/>
        <v>373788.04</v>
      </c>
      <c r="X114" s="678">
        <f t="shared" si="29"/>
        <v>603151.2</v>
      </c>
      <c r="Y114" s="679">
        <f t="shared" si="29"/>
        <v>337598.96</v>
      </c>
      <c r="Z114" s="678">
        <f t="shared" si="29"/>
        <v>603151.2</v>
      </c>
      <c r="AA114" s="679">
        <f t="shared" si="29"/>
        <v>302273.06</v>
      </c>
      <c r="AB114" s="678">
        <f t="shared" si="29"/>
        <v>603151.2</v>
      </c>
      <c r="AC114" s="679">
        <f t="shared" si="29"/>
        <v>265220.82</v>
      </c>
      <c r="AD114" s="678">
        <f t="shared" si="29"/>
        <v>603151.2</v>
      </c>
      <c r="AE114" s="679">
        <f t="shared" si="29"/>
        <v>229031.74</v>
      </c>
      <c r="AF114" s="678">
        <f t="shared" si="29"/>
        <v>603151.2</v>
      </c>
      <c r="AG114" s="679">
        <f t="shared" si="29"/>
        <v>192842.68</v>
      </c>
      <c r="AH114" s="678">
        <f t="shared" si="29"/>
        <v>603151.2</v>
      </c>
      <c r="AI114" s="679">
        <f t="shared" si="29"/>
        <v>157120.17</v>
      </c>
      <c r="AJ114" s="678">
        <f t="shared" si="29"/>
        <v>603151.2</v>
      </c>
      <c r="AK114" s="679">
        <f t="shared" si="29"/>
        <v>120464.52</v>
      </c>
      <c r="AL114" s="678">
        <f t="shared" si="29"/>
        <v>1682343.4000000523</v>
      </c>
      <c r="AM114" s="679">
        <f t="shared" si="29"/>
        <v>84275.46</v>
      </c>
      <c r="AN114" s="678">
        <f t="shared" si="29"/>
        <v>239191991.08869022</v>
      </c>
      <c r="AO114" s="679">
        <f t="shared" si="29"/>
        <v>48401817.40917808</v>
      </c>
    </row>
    <row r="115" ht="12.75">
      <c r="B115" s="13"/>
    </row>
  </sheetData>
  <sheetProtection/>
  <mergeCells count="20">
    <mergeCell ref="H7:I7"/>
    <mergeCell ref="J7:K7"/>
    <mergeCell ref="B7:C7"/>
    <mergeCell ref="D7:E7"/>
    <mergeCell ref="F7:G7"/>
    <mergeCell ref="L7:M7"/>
    <mergeCell ref="AN7:AO7"/>
    <mergeCell ref="N7:O7"/>
    <mergeCell ref="P7:Q7"/>
    <mergeCell ref="R7:S7"/>
    <mergeCell ref="T7:U7"/>
    <mergeCell ref="V7:W7"/>
    <mergeCell ref="X7:Y7"/>
    <mergeCell ref="Z7:AA7"/>
    <mergeCell ref="AB7:AC7"/>
    <mergeCell ref="AL7:AM7"/>
    <mergeCell ref="AD7:AE7"/>
    <mergeCell ref="AF7:AG7"/>
    <mergeCell ref="AH7:AI7"/>
    <mergeCell ref="AJ7:AK7"/>
  </mergeCells>
  <printOptions horizontalCentered="1"/>
  <pageMargins left="0" right="0" top="0" bottom="0" header="0" footer="0.3937007874015748"/>
  <pageSetup firstPageNumber="4" useFirstPageNumber="1" horizontalDpi="600" verticalDpi="600" orientation="portrait" pageOrder="overThenDown" paperSize="9" scale="70" r:id="rId2"/>
  <headerFooter alignWithMargins="0">
    <oddFooter>&amp;CPágina Nº &amp;P</oddFooter>
  </headerFooter>
  <ignoredErrors>
    <ignoredError sqref="AP36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E82"/>
  <sheetViews>
    <sheetView showGridLines="0" workbookViewId="0" topLeftCell="B1">
      <selection activeCell="P7" sqref="P7:Q7"/>
    </sheetView>
  </sheetViews>
  <sheetFormatPr defaultColWidth="11.421875" defaultRowHeight="12.75"/>
  <cols>
    <col min="1" max="1" width="23.421875" style="1" customWidth="1"/>
    <col min="2" max="2" width="8.140625" style="1" customWidth="1"/>
    <col min="3" max="4" width="8.00390625" style="1" customWidth="1"/>
    <col min="5" max="5" width="8.140625" style="1" customWidth="1"/>
    <col min="6" max="13" width="8.00390625" style="1" customWidth="1"/>
    <col min="14" max="14" width="9.140625" style="1" customWidth="1"/>
    <col min="15" max="15" width="8.140625" style="1" customWidth="1"/>
    <col min="16" max="27" width="8.00390625" style="1" customWidth="1"/>
    <col min="28" max="29" width="8.8515625" style="1" customWidth="1"/>
    <col min="30" max="30" width="12.28125" style="1" bestFit="1" customWidth="1"/>
    <col min="31" max="31" width="9.7109375" style="1" bestFit="1" customWidth="1"/>
    <col min="32" max="16384" width="11.421875" style="1" customWidth="1"/>
  </cols>
  <sheetData>
    <row r="1" spans="1:30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9"/>
      <c r="O1" s="46" t="s">
        <v>88</v>
      </c>
      <c r="P1" s="29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9"/>
      <c r="AC1" s="46" t="s">
        <v>88</v>
      </c>
      <c r="AD1" s="1"/>
    </row>
    <row r="2" spans="8:30" ht="18" customHeight="1">
      <c r="H2" s="24" t="s">
        <v>276</v>
      </c>
      <c r="I2" s="1"/>
      <c r="U2" s="1"/>
      <c r="V2" s="24" t="str">
        <f>H2</f>
        <v>PAGOS MENSUALES</v>
      </c>
      <c r="W2" s="24"/>
      <c r="AD2" s="1"/>
    </row>
    <row r="3" spans="7:30" ht="18" customHeight="1">
      <c r="G3" s="24"/>
      <c r="W3" s="24"/>
      <c r="AD3" s="1"/>
    </row>
    <row r="4" spans="1:30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9"/>
      <c r="O4" s="46" t="s">
        <v>85</v>
      </c>
      <c r="P4" s="29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9"/>
      <c r="AC4" s="46" t="s">
        <v>85</v>
      </c>
      <c r="AD4" s="1"/>
    </row>
    <row r="5" spans="3:30" ht="12.75">
      <c r="C5" s="1"/>
      <c r="F5" s="17"/>
      <c r="H5" s="234" t="s">
        <v>325</v>
      </c>
      <c r="U5" s="1"/>
      <c r="V5" s="234" t="str">
        <f>H5</f>
        <v>Datos provisorios al 30/11/12</v>
      </c>
      <c r="W5" s="18"/>
      <c r="X5" s="17"/>
      <c r="AD5" s="1"/>
    </row>
    <row r="6" spans="2:28" ht="13.5" customHeight="1" thickBot="1"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4"/>
      <c r="P6" s="573"/>
      <c r="Q6" s="573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</row>
    <row r="7" spans="1:29" s="55" customFormat="1" ht="13.5" thickBot="1">
      <c r="A7" s="742" t="s">
        <v>97</v>
      </c>
      <c r="B7" s="745">
        <v>40909</v>
      </c>
      <c r="C7" s="739"/>
      <c r="D7" s="745">
        <v>40940</v>
      </c>
      <c r="E7" s="739"/>
      <c r="F7" s="745">
        <v>40969</v>
      </c>
      <c r="G7" s="739"/>
      <c r="H7" s="745">
        <v>41000</v>
      </c>
      <c r="I7" s="739"/>
      <c r="J7" s="745">
        <v>41030</v>
      </c>
      <c r="K7" s="739"/>
      <c r="L7" s="745">
        <v>41061</v>
      </c>
      <c r="M7" s="739"/>
      <c r="N7" s="756" t="s">
        <v>326</v>
      </c>
      <c r="O7" s="757"/>
      <c r="P7" s="745">
        <v>41091</v>
      </c>
      <c r="Q7" s="739"/>
      <c r="R7" s="745">
        <v>41122</v>
      </c>
      <c r="S7" s="739"/>
      <c r="T7" s="745">
        <v>41153</v>
      </c>
      <c r="U7" s="739"/>
      <c r="V7" s="745">
        <v>41183</v>
      </c>
      <c r="W7" s="739"/>
      <c r="X7" s="745">
        <v>41214</v>
      </c>
      <c r="Y7" s="739"/>
      <c r="Z7" s="745">
        <v>41244</v>
      </c>
      <c r="AA7" s="739"/>
      <c r="AB7" s="756" t="s">
        <v>103</v>
      </c>
      <c r="AC7" s="757"/>
    </row>
    <row r="8" spans="1:29" s="55" customFormat="1" ht="12.75">
      <c r="A8" s="743"/>
      <c r="B8" s="64" t="s">
        <v>102</v>
      </c>
      <c r="C8" s="63" t="s">
        <v>78</v>
      </c>
      <c r="D8" s="64" t="s">
        <v>102</v>
      </c>
      <c r="E8" s="63" t="s">
        <v>78</v>
      </c>
      <c r="F8" s="62" t="s">
        <v>102</v>
      </c>
      <c r="G8" s="61" t="s">
        <v>78</v>
      </c>
      <c r="H8" s="62" t="s">
        <v>102</v>
      </c>
      <c r="I8" s="61" t="s">
        <v>78</v>
      </c>
      <c r="J8" s="62" t="s">
        <v>102</v>
      </c>
      <c r="K8" s="61" t="s">
        <v>78</v>
      </c>
      <c r="L8" s="62" t="s">
        <v>102</v>
      </c>
      <c r="M8" s="61" t="s">
        <v>78</v>
      </c>
      <c r="N8" s="62" t="s">
        <v>102</v>
      </c>
      <c r="O8" s="61" t="s">
        <v>78</v>
      </c>
      <c r="P8" s="62" t="s">
        <v>102</v>
      </c>
      <c r="Q8" s="61" t="s">
        <v>78</v>
      </c>
      <c r="R8" s="62" t="s">
        <v>102</v>
      </c>
      <c r="S8" s="61" t="s">
        <v>78</v>
      </c>
      <c r="T8" s="62" t="s">
        <v>102</v>
      </c>
      <c r="U8" s="61" t="s">
        <v>78</v>
      </c>
      <c r="V8" s="62" t="s">
        <v>102</v>
      </c>
      <c r="W8" s="61" t="s">
        <v>78</v>
      </c>
      <c r="X8" s="62" t="s">
        <v>102</v>
      </c>
      <c r="Y8" s="61" t="s">
        <v>78</v>
      </c>
      <c r="Z8" s="62" t="s">
        <v>102</v>
      </c>
      <c r="AA8" s="61" t="s">
        <v>78</v>
      </c>
      <c r="AB8" s="62" t="s">
        <v>102</v>
      </c>
      <c r="AC8" s="61" t="s">
        <v>78</v>
      </c>
    </row>
    <row r="9" spans="1:29" s="55" customFormat="1" ht="13.5" thickBot="1">
      <c r="A9" s="744"/>
      <c r="B9" s="59" t="s">
        <v>1</v>
      </c>
      <c r="C9" s="58" t="s">
        <v>106</v>
      </c>
      <c r="D9" s="59" t="s">
        <v>1</v>
      </c>
      <c r="E9" s="58" t="s">
        <v>106</v>
      </c>
      <c r="F9" s="57" t="s">
        <v>1</v>
      </c>
      <c r="G9" s="56" t="s">
        <v>106</v>
      </c>
      <c r="H9" s="57" t="s">
        <v>1</v>
      </c>
      <c r="I9" s="56" t="s">
        <v>106</v>
      </c>
      <c r="J9" s="57" t="s">
        <v>1</v>
      </c>
      <c r="K9" s="56" t="s">
        <v>106</v>
      </c>
      <c r="L9" s="57" t="s">
        <v>1</v>
      </c>
      <c r="M9" s="56" t="s">
        <v>106</v>
      </c>
      <c r="N9" s="57" t="s">
        <v>1</v>
      </c>
      <c r="O9" s="56" t="s">
        <v>106</v>
      </c>
      <c r="P9" s="57" t="s">
        <v>1</v>
      </c>
      <c r="Q9" s="56" t="s">
        <v>106</v>
      </c>
      <c r="R9" s="57" t="s">
        <v>1</v>
      </c>
      <c r="S9" s="56" t="s">
        <v>106</v>
      </c>
      <c r="T9" s="57" t="s">
        <v>1</v>
      </c>
      <c r="U9" s="56" t="s">
        <v>106</v>
      </c>
      <c r="V9" s="57" t="s">
        <v>1</v>
      </c>
      <c r="W9" s="56" t="s">
        <v>106</v>
      </c>
      <c r="X9" s="57" t="s">
        <v>1</v>
      </c>
      <c r="Y9" s="56" t="s">
        <v>106</v>
      </c>
      <c r="Z9" s="57" t="s">
        <v>1</v>
      </c>
      <c r="AA9" s="56" t="s">
        <v>106</v>
      </c>
      <c r="AB9" s="57" t="s">
        <v>1</v>
      </c>
      <c r="AC9" s="56" t="s">
        <v>106</v>
      </c>
    </row>
    <row r="10" ht="13.5" thickBot="1">
      <c r="AD10" s="55"/>
    </row>
    <row r="11" spans="1:30" s="42" customFormat="1" ht="24" customHeight="1" thickBot="1">
      <c r="A11" s="223"/>
      <c r="B11" s="44"/>
      <c r="C11" s="44"/>
      <c r="D11" s="44"/>
      <c r="E11" s="44"/>
      <c r="F11" s="44"/>
      <c r="G11" s="232" t="s">
        <v>133</v>
      </c>
      <c r="H11" s="44"/>
      <c r="I11" s="93"/>
      <c r="J11" s="44"/>
      <c r="K11" s="44"/>
      <c r="L11" s="44"/>
      <c r="M11" s="44"/>
      <c r="N11" s="44"/>
      <c r="O11" s="52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52"/>
      <c r="AD11" s="55"/>
    </row>
    <row r="12" spans="1:30" ht="12.75">
      <c r="A12" s="224" t="s">
        <v>122</v>
      </c>
      <c r="B12" s="377">
        <v>576963.14</v>
      </c>
      <c r="C12" s="378">
        <v>117605.66</v>
      </c>
      <c r="D12" s="377">
        <v>581100.38</v>
      </c>
      <c r="E12" s="378">
        <v>109883.73</v>
      </c>
      <c r="F12" s="377">
        <v>582568.6</v>
      </c>
      <c r="G12" s="378">
        <v>116769.07</v>
      </c>
      <c r="H12" s="377">
        <v>588040.49</v>
      </c>
      <c r="I12" s="378">
        <v>113097.14</v>
      </c>
      <c r="J12" s="377">
        <v>595114.2</v>
      </c>
      <c r="K12" s="378">
        <v>117261.98</v>
      </c>
      <c r="L12" s="377">
        <v>600986.45</v>
      </c>
      <c r="M12" s="378">
        <v>113611.19</v>
      </c>
      <c r="N12" s="377">
        <v>3524773.26</v>
      </c>
      <c r="O12" s="378">
        <v>688228.77</v>
      </c>
      <c r="P12" s="377">
        <v>609127.86</v>
      </c>
      <c r="Q12" s="378">
        <v>117953.84</v>
      </c>
      <c r="R12" s="377">
        <v>616067.84</v>
      </c>
      <c r="S12" s="378">
        <v>118251.31</v>
      </c>
      <c r="T12" s="377">
        <v>625944.28</v>
      </c>
      <c r="U12" s="378">
        <v>115242.35</v>
      </c>
      <c r="V12" s="377">
        <v>632350.4</v>
      </c>
      <c r="W12" s="378">
        <v>119228.41</v>
      </c>
      <c r="X12" s="377">
        <v>641959.92</v>
      </c>
      <c r="Y12" s="378">
        <v>116080.39</v>
      </c>
      <c r="Z12" s="377">
        <v>0</v>
      </c>
      <c r="AA12" s="378">
        <v>0</v>
      </c>
      <c r="AB12" s="377">
        <v>6650223.560000001</v>
      </c>
      <c r="AC12" s="378">
        <v>1274985.07</v>
      </c>
      <c r="AD12" s="55"/>
    </row>
    <row r="13" spans="1:31" ht="12.75">
      <c r="A13" s="225" t="s">
        <v>1</v>
      </c>
      <c r="B13" s="322">
        <v>62252.76</v>
      </c>
      <c r="C13" s="323">
        <v>12689.35</v>
      </c>
      <c r="D13" s="322">
        <v>62699.12</v>
      </c>
      <c r="E13" s="323">
        <v>11856.16</v>
      </c>
      <c r="F13" s="322">
        <v>62857.57</v>
      </c>
      <c r="G13" s="323">
        <v>12599.05</v>
      </c>
      <c r="H13" s="322">
        <v>63447.94</v>
      </c>
      <c r="I13" s="323">
        <v>12202.86</v>
      </c>
      <c r="J13" s="322">
        <v>64211.21</v>
      </c>
      <c r="K13" s="323">
        <v>12652.23</v>
      </c>
      <c r="L13" s="322">
        <v>64844.78</v>
      </c>
      <c r="M13" s="323">
        <v>12258.34</v>
      </c>
      <c r="N13" s="325">
        <v>380313.38</v>
      </c>
      <c r="O13" s="326">
        <v>74257.99</v>
      </c>
      <c r="P13" s="322">
        <v>65723.24</v>
      </c>
      <c r="Q13" s="323">
        <v>12726.9</v>
      </c>
      <c r="R13" s="322">
        <v>66472.02</v>
      </c>
      <c r="S13" s="323">
        <v>12758.99</v>
      </c>
      <c r="T13" s="322">
        <v>67537.69</v>
      </c>
      <c r="U13" s="323">
        <v>12434.32</v>
      </c>
      <c r="V13" s="322">
        <v>68228.86</v>
      </c>
      <c r="W13" s="323">
        <v>12864.43</v>
      </c>
      <c r="X13" s="322">
        <v>69265.73</v>
      </c>
      <c r="Y13" s="323">
        <v>12524.76</v>
      </c>
      <c r="Z13" s="322"/>
      <c r="AA13" s="324"/>
      <c r="AB13" s="325">
        <v>717540.92</v>
      </c>
      <c r="AC13" s="326">
        <v>137567.39</v>
      </c>
      <c r="AD13" s="55"/>
      <c r="AE13" s="13"/>
    </row>
    <row r="14" spans="1:30" ht="12.75">
      <c r="A14" s="226" t="s">
        <v>21</v>
      </c>
      <c r="B14" s="329">
        <v>37677.06</v>
      </c>
      <c r="C14" s="333">
        <v>7679.94</v>
      </c>
      <c r="D14" s="329">
        <v>37947.25</v>
      </c>
      <c r="E14" s="333">
        <v>7175.65</v>
      </c>
      <c r="F14" s="329">
        <v>38043.11</v>
      </c>
      <c r="G14" s="333">
        <v>7625.31</v>
      </c>
      <c r="H14" s="329">
        <v>38400.45</v>
      </c>
      <c r="I14" s="333">
        <v>7385.51</v>
      </c>
      <c r="J14" s="329">
        <v>38862.37</v>
      </c>
      <c r="K14" s="333">
        <v>7657.49</v>
      </c>
      <c r="L14" s="329">
        <v>39245.85</v>
      </c>
      <c r="M14" s="333">
        <v>7419.1</v>
      </c>
      <c r="N14" s="331">
        <v>230176.09</v>
      </c>
      <c r="O14" s="332">
        <v>44943</v>
      </c>
      <c r="P14" s="329">
        <v>39777.5</v>
      </c>
      <c r="Q14" s="333">
        <v>7702.66</v>
      </c>
      <c r="R14" s="329">
        <v>40230.7</v>
      </c>
      <c r="S14" s="333">
        <v>7722.11</v>
      </c>
      <c r="T14" s="329">
        <v>40875.65</v>
      </c>
      <c r="U14" s="333">
        <v>7525.62</v>
      </c>
      <c r="V14" s="329">
        <v>41293.99</v>
      </c>
      <c r="W14" s="333">
        <v>7785.91</v>
      </c>
      <c r="X14" s="329">
        <v>41921.51</v>
      </c>
      <c r="Y14" s="333">
        <v>7580.32</v>
      </c>
      <c r="Z14" s="329"/>
      <c r="AA14" s="330"/>
      <c r="AB14" s="331">
        <v>434275.44</v>
      </c>
      <c r="AC14" s="332">
        <v>83259.62</v>
      </c>
      <c r="AD14" s="55"/>
    </row>
    <row r="15" spans="1:30" ht="12.75">
      <c r="A15" s="226" t="s">
        <v>22</v>
      </c>
      <c r="B15" s="329">
        <v>59274.77</v>
      </c>
      <c r="C15" s="333">
        <v>12082.31</v>
      </c>
      <c r="D15" s="329">
        <v>59699.78</v>
      </c>
      <c r="E15" s="333">
        <v>11289.01</v>
      </c>
      <c r="F15" s="329">
        <v>59850.65</v>
      </c>
      <c r="G15" s="333">
        <v>11996.37</v>
      </c>
      <c r="H15" s="329">
        <v>60412.78</v>
      </c>
      <c r="I15" s="333">
        <v>11619.11</v>
      </c>
      <c r="J15" s="329">
        <v>61139.53</v>
      </c>
      <c r="K15" s="333">
        <v>12047.01</v>
      </c>
      <c r="L15" s="329">
        <v>61742.79</v>
      </c>
      <c r="M15" s="333">
        <v>11671.91</v>
      </c>
      <c r="N15" s="331">
        <v>362120.3</v>
      </c>
      <c r="O15" s="332">
        <v>70705.72</v>
      </c>
      <c r="P15" s="329">
        <v>62579.24</v>
      </c>
      <c r="Q15" s="333">
        <v>12118.06</v>
      </c>
      <c r="R15" s="329">
        <v>63292.19</v>
      </c>
      <c r="S15" s="333">
        <v>12148.62</v>
      </c>
      <c r="T15" s="329">
        <v>64306.89</v>
      </c>
      <c r="U15" s="333">
        <v>11839.53</v>
      </c>
      <c r="V15" s="329">
        <v>64964.99</v>
      </c>
      <c r="W15" s="333">
        <v>12249.01</v>
      </c>
      <c r="X15" s="329">
        <v>65952.27</v>
      </c>
      <c r="Y15" s="333">
        <v>11925.62</v>
      </c>
      <c r="Z15" s="329"/>
      <c r="AA15" s="330"/>
      <c r="AB15" s="331">
        <v>683215.88</v>
      </c>
      <c r="AC15" s="332">
        <v>130986.56</v>
      </c>
      <c r="AD15" s="55"/>
    </row>
    <row r="16" spans="1:30" ht="12.75">
      <c r="A16" s="226" t="s">
        <v>16</v>
      </c>
      <c r="B16" s="329">
        <v>127020.03</v>
      </c>
      <c r="C16" s="333">
        <v>25891.18</v>
      </c>
      <c r="D16" s="329">
        <v>127930.84</v>
      </c>
      <c r="E16" s="333">
        <v>24191.22</v>
      </c>
      <c r="F16" s="329">
        <v>128254.09</v>
      </c>
      <c r="G16" s="333">
        <v>25707.01</v>
      </c>
      <c r="H16" s="329">
        <v>129458.72</v>
      </c>
      <c r="I16" s="333">
        <v>24898.66</v>
      </c>
      <c r="J16" s="329">
        <v>131016.03</v>
      </c>
      <c r="K16" s="333">
        <v>25815.56</v>
      </c>
      <c r="L16" s="329">
        <v>132308.81</v>
      </c>
      <c r="M16" s="333">
        <v>25011.82</v>
      </c>
      <c r="N16" s="331">
        <v>775988.52</v>
      </c>
      <c r="O16" s="332">
        <v>151515.45</v>
      </c>
      <c r="P16" s="329">
        <v>134101.18</v>
      </c>
      <c r="Q16" s="333">
        <v>25967.88</v>
      </c>
      <c r="R16" s="329">
        <v>135629.02</v>
      </c>
      <c r="S16" s="333">
        <v>26033.36</v>
      </c>
      <c r="T16" s="329">
        <v>137803.36</v>
      </c>
      <c r="U16" s="333">
        <v>25370.93</v>
      </c>
      <c r="V16" s="329">
        <v>139213.67</v>
      </c>
      <c r="W16" s="333">
        <v>26248.47</v>
      </c>
      <c r="X16" s="329">
        <v>141329.25</v>
      </c>
      <c r="Y16" s="333">
        <v>25555.43</v>
      </c>
      <c r="Z16" s="329"/>
      <c r="AA16" s="330"/>
      <c r="AB16" s="331">
        <v>1464065</v>
      </c>
      <c r="AC16" s="332">
        <v>280691.52</v>
      </c>
      <c r="AD16" s="55"/>
    </row>
    <row r="17" spans="1:30" ht="12.75">
      <c r="A17" s="226" t="s">
        <v>15</v>
      </c>
      <c r="B17" s="329">
        <v>12412.07</v>
      </c>
      <c r="C17" s="333">
        <v>2530.04</v>
      </c>
      <c r="D17" s="329">
        <v>12501.07</v>
      </c>
      <c r="E17" s="333">
        <v>2363.92</v>
      </c>
      <c r="F17" s="329">
        <v>12532.66</v>
      </c>
      <c r="G17" s="333">
        <v>2512.01</v>
      </c>
      <c r="H17" s="329">
        <v>12650.38</v>
      </c>
      <c r="I17" s="333">
        <v>2433.04</v>
      </c>
      <c r="J17" s="329">
        <v>12802.55</v>
      </c>
      <c r="K17" s="333">
        <v>2522.63</v>
      </c>
      <c r="L17" s="329">
        <v>12928.88</v>
      </c>
      <c r="M17" s="333">
        <v>2444.09</v>
      </c>
      <c r="N17" s="331">
        <v>75827.61</v>
      </c>
      <c r="O17" s="332">
        <v>14805.73</v>
      </c>
      <c r="P17" s="329">
        <v>13104.02</v>
      </c>
      <c r="Q17" s="333">
        <v>2537.49</v>
      </c>
      <c r="R17" s="329">
        <v>13253.32</v>
      </c>
      <c r="S17" s="333">
        <v>2543.92</v>
      </c>
      <c r="T17" s="329">
        <v>13465.79</v>
      </c>
      <c r="U17" s="333">
        <v>2479.18</v>
      </c>
      <c r="V17" s="329">
        <v>13603.6</v>
      </c>
      <c r="W17" s="333">
        <v>2564.92</v>
      </c>
      <c r="X17" s="329">
        <v>13810.33</v>
      </c>
      <c r="Y17" s="333">
        <v>2497.21</v>
      </c>
      <c r="Z17" s="329"/>
      <c r="AA17" s="330"/>
      <c r="AB17" s="331">
        <v>143064.67</v>
      </c>
      <c r="AC17" s="332">
        <v>27428.45</v>
      </c>
      <c r="AD17" s="55"/>
    </row>
    <row r="18" spans="1:29" ht="12.75">
      <c r="A18" s="226" t="s">
        <v>14</v>
      </c>
      <c r="B18" s="329">
        <v>8056.9</v>
      </c>
      <c r="C18" s="333">
        <v>1642.26</v>
      </c>
      <c r="D18" s="329">
        <v>8114.64</v>
      </c>
      <c r="E18" s="333">
        <v>1534.44</v>
      </c>
      <c r="F18" s="329">
        <v>8135.18</v>
      </c>
      <c r="G18" s="333">
        <v>1630.59</v>
      </c>
      <c r="H18" s="329">
        <v>8211.55</v>
      </c>
      <c r="I18" s="333">
        <v>1579.33</v>
      </c>
      <c r="J18" s="329">
        <v>8310.37</v>
      </c>
      <c r="K18" s="333">
        <v>1637.48</v>
      </c>
      <c r="L18" s="329">
        <v>8392.33</v>
      </c>
      <c r="M18" s="333">
        <v>1586.5</v>
      </c>
      <c r="N18" s="331">
        <v>49220.97</v>
      </c>
      <c r="O18" s="332">
        <v>9610.6</v>
      </c>
      <c r="P18" s="329">
        <v>8506.06</v>
      </c>
      <c r="Q18" s="333">
        <v>1647.15</v>
      </c>
      <c r="R18" s="329">
        <v>8602.93</v>
      </c>
      <c r="S18" s="333">
        <v>1651.28</v>
      </c>
      <c r="T18" s="329">
        <v>8740.89</v>
      </c>
      <c r="U18" s="333">
        <v>1609.28</v>
      </c>
      <c r="V18" s="329">
        <v>8830.31</v>
      </c>
      <c r="W18" s="333">
        <v>1664.93</v>
      </c>
      <c r="X18" s="329">
        <v>8964.54</v>
      </c>
      <c r="Y18" s="333">
        <v>1620.97</v>
      </c>
      <c r="Z18" s="329"/>
      <c r="AA18" s="330"/>
      <c r="AB18" s="331">
        <v>92865.7</v>
      </c>
      <c r="AC18" s="332">
        <v>17804.21</v>
      </c>
    </row>
    <row r="19" spans="1:29" ht="12.75">
      <c r="A19" s="226" t="s">
        <v>13</v>
      </c>
      <c r="B19" s="329">
        <v>29887.54</v>
      </c>
      <c r="C19" s="333">
        <v>6092.14</v>
      </c>
      <c r="D19" s="329">
        <v>30101.9</v>
      </c>
      <c r="E19" s="333">
        <v>5692.16</v>
      </c>
      <c r="F19" s="329">
        <v>30177.91</v>
      </c>
      <c r="G19" s="333">
        <v>6048.8</v>
      </c>
      <c r="H19" s="329">
        <v>30461.41</v>
      </c>
      <c r="I19" s="333">
        <v>5858.61</v>
      </c>
      <c r="J19" s="329">
        <v>30827.79</v>
      </c>
      <c r="K19" s="333">
        <v>6074.36</v>
      </c>
      <c r="L19" s="329">
        <v>31132.03</v>
      </c>
      <c r="M19" s="333">
        <v>5885.24</v>
      </c>
      <c r="N19" s="331">
        <v>182588.58</v>
      </c>
      <c r="O19" s="332">
        <v>35651.31</v>
      </c>
      <c r="P19" s="329">
        <v>31553.72</v>
      </c>
      <c r="Q19" s="333">
        <v>6110.19</v>
      </c>
      <c r="R19" s="329">
        <v>31913.27</v>
      </c>
      <c r="S19" s="333">
        <v>6125.62</v>
      </c>
      <c r="T19" s="329">
        <v>32424.83</v>
      </c>
      <c r="U19" s="333">
        <v>5969.71</v>
      </c>
      <c r="V19" s="329">
        <v>32756.73</v>
      </c>
      <c r="W19" s="333">
        <v>6176.22</v>
      </c>
      <c r="X19" s="329">
        <v>33254.46</v>
      </c>
      <c r="Y19" s="333">
        <v>6013.13</v>
      </c>
      <c r="Z19" s="329"/>
      <c r="AA19" s="330"/>
      <c r="AB19" s="331">
        <v>344491.59</v>
      </c>
      <c r="AC19" s="332">
        <v>66046.18</v>
      </c>
    </row>
    <row r="20" spans="1:29" ht="12.75">
      <c r="A20" s="226" t="s">
        <v>84</v>
      </c>
      <c r="B20" s="329">
        <v>27881.62</v>
      </c>
      <c r="C20" s="333">
        <v>5683.28</v>
      </c>
      <c r="D20" s="329">
        <v>28081.56</v>
      </c>
      <c r="E20" s="333">
        <v>5310.09</v>
      </c>
      <c r="F20" s="329">
        <v>28152.5</v>
      </c>
      <c r="G20" s="333">
        <v>5642.85</v>
      </c>
      <c r="H20" s="329">
        <v>28416.94</v>
      </c>
      <c r="I20" s="333">
        <v>5465.38</v>
      </c>
      <c r="J20" s="329">
        <v>28758.77</v>
      </c>
      <c r="K20" s="333">
        <v>5666.68</v>
      </c>
      <c r="L20" s="329">
        <v>29042.55</v>
      </c>
      <c r="M20" s="333">
        <v>5490.24</v>
      </c>
      <c r="N20" s="331">
        <v>170333.94</v>
      </c>
      <c r="O20" s="332">
        <v>33258.52</v>
      </c>
      <c r="P20" s="329">
        <v>29435.97</v>
      </c>
      <c r="Q20" s="333">
        <v>5700.12</v>
      </c>
      <c r="R20" s="329">
        <v>29771.35</v>
      </c>
      <c r="S20" s="333">
        <v>5714.47</v>
      </c>
      <c r="T20" s="329">
        <v>30248.62</v>
      </c>
      <c r="U20" s="333">
        <v>5569.05</v>
      </c>
      <c r="V20" s="329">
        <v>30558.2</v>
      </c>
      <c r="W20" s="333">
        <v>5761.69</v>
      </c>
      <c r="X20" s="329">
        <v>31022.58</v>
      </c>
      <c r="Y20" s="333">
        <v>5609.56</v>
      </c>
      <c r="Z20" s="329"/>
      <c r="AA20" s="330"/>
      <c r="AB20" s="331">
        <v>321370.66</v>
      </c>
      <c r="AC20" s="332">
        <v>61613.41</v>
      </c>
    </row>
    <row r="21" spans="1:29" ht="12.75">
      <c r="A21" s="226" t="s">
        <v>105</v>
      </c>
      <c r="B21" s="329">
        <v>44590.32</v>
      </c>
      <c r="C21" s="333">
        <v>9089.11</v>
      </c>
      <c r="D21" s="329">
        <v>44910.07</v>
      </c>
      <c r="E21" s="333">
        <v>8492.3</v>
      </c>
      <c r="F21" s="329">
        <v>45023.53</v>
      </c>
      <c r="G21" s="333">
        <v>9024.46</v>
      </c>
      <c r="H21" s="329">
        <v>45446.44</v>
      </c>
      <c r="I21" s="333">
        <v>8740.67</v>
      </c>
      <c r="J21" s="329">
        <v>45993.11</v>
      </c>
      <c r="K21" s="333">
        <v>9062.52</v>
      </c>
      <c r="L21" s="329">
        <v>46446.96</v>
      </c>
      <c r="M21" s="333">
        <v>8780.4</v>
      </c>
      <c r="N21" s="331">
        <v>272410.43</v>
      </c>
      <c r="O21" s="332">
        <v>53189.46</v>
      </c>
      <c r="P21" s="329">
        <v>47076.15</v>
      </c>
      <c r="Q21" s="333">
        <v>9116</v>
      </c>
      <c r="R21" s="329">
        <v>47612.52</v>
      </c>
      <c r="S21" s="333">
        <v>9138.99</v>
      </c>
      <c r="T21" s="329">
        <v>48375.8</v>
      </c>
      <c r="U21" s="333">
        <v>8906.45</v>
      </c>
      <c r="V21" s="329">
        <v>48870.91</v>
      </c>
      <c r="W21" s="333">
        <v>9214.51</v>
      </c>
      <c r="X21" s="329">
        <v>49613.56</v>
      </c>
      <c r="Y21" s="333">
        <v>8971.23</v>
      </c>
      <c r="Z21" s="329"/>
      <c r="AA21" s="330"/>
      <c r="AB21" s="331">
        <v>513959.37</v>
      </c>
      <c r="AC21" s="332">
        <v>98536.64</v>
      </c>
    </row>
    <row r="22" spans="1:29" ht="12.75">
      <c r="A22" s="226" t="s">
        <v>4</v>
      </c>
      <c r="B22" s="329">
        <v>33433.82</v>
      </c>
      <c r="C22" s="333">
        <v>6814.99</v>
      </c>
      <c r="D22" s="329">
        <v>33673.62</v>
      </c>
      <c r="E22" s="333">
        <v>6367.55</v>
      </c>
      <c r="F22" s="329">
        <v>33758.65</v>
      </c>
      <c r="G22" s="333">
        <v>6766.54</v>
      </c>
      <c r="H22" s="329">
        <v>34075.78</v>
      </c>
      <c r="I22" s="333">
        <v>6553.75</v>
      </c>
      <c r="J22" s="329">
        <v>34485.64</v>
      </c>
      <c r="K22" s="333">
        <v>6795.07</v>
      </c>
      <c r="L22" s="329">
        <v>34825.98</v>
      </c>
      <c r="M22" s="333">
        <v>6583.52</v>
      </c>
      <c r="N22" s="331">
        <v>204253.49</v>
      </c>
      <c r="O22" s="332">
        <v>39881.42</v>
      </c>
      <c r="P22" s="329">
        <v>35297.7</v>
      </c>
      <c r="Q22" s="333">
        <v>6835.18</v>
      </c>
      <c r="R22" s="329">
        <v>35699.91</v>
      </c>
      <c r="S22" s="333">
        <v>6852.41</v>
      </c>
      <c r="T22" s="329">
        <v>36272.18</v>
      </c>
      <c r="U22" s="333">
        <v>6678.04</v>
      </c>
      <c r="V22" s="329">
        <v>36643.46</v>
      </c>
      <c r="W22" s="333">
        <v>6909.05</v>
      </c>
      <c r="X22" s="329">
        <v>37200.25</v>
      </c>
      <c r="Y22" s="333">
        <v>6726.64</v>
      </c>
      <c r="Z22" s="329"/>
      <c r="AA22" s="330"/>
      <c r="AB22" s="331">
        <v>385366.99</v>
      </c>
      <c r="AC22" s="332">
        <v>73882.74</v>
      </c>
    </row>
    <row r="23" spans="1:29" ht="12.75">
      <c r="A23" s="226" t="s">
        <v>10</v>
      </c>
      <c r="B23" s="329">
        <v>10184.86</v>
      </c>
      <c r="C23" s="333">
        <v>2076.03</v>
      </c>
      <c r="D23" s="329">
        <v>10257.89</v>
      </c>
      <c r="E23" s="333">
        <v>1939.71</v>
      </c>
      <c r="F23" s="329">
        <v>10283.81</v>
      </c>
      <c r="G23" s="333">
        <v>2061.28</v>
      </c>
      <c r="H23" s="329">
        <v>10380.4</v>
      </c>
      <c r="I23" s="333">
        <v>1996.45</v>
      </c>
      <c r="J23" s="329">
        <v>10505.27</v>
      </c>
      <c r="K23" s="333">
        <v>2069.96</v>
      </c>
      <c r="L23" s="329">
        <v>10608.93</v>
      </c>
      <c r="M23" s="333">
        <v>2005.5</v>
      </c>
      <c r="N23" s="331">
        <v>62221.16</v>
      </c>
      <c r="O23" s="332">
        <v>12148.93</v>
      </c>
      <c r="P23" s="329">
        <v>10752.65</v>
      </c>
      <c r="Q23" s="333">
        <v>2082.19</v>
      </c>
      <c r="R23" s="329">
        <v>10875.16</v>
      </c>
      <c r="S23" s="333">
        <v>2087.45</v>
      </c>
      <c r="T23" s="329">
        <v>11049.5</v>
      </c>
      <c r="U23" s="333">
        <v>2034.33</v>
      </c>
      <c r="V23" s="329">
        <v>11162.59</v>
      </c>
      <c r="W23" s="333">
        <v>2104.67</v>
      </c>
      <c r="X23" s="329">
        <v>11332.22</v>
      </c>
      <c r="Y23" s="333">
        <v>2049.1</v>
      </c>
      <c r="Z23" s="329"/>
      <c r="AA23" s="330"/>
      <c r="AB23" s="331">
        <v>117393.28</v>
      </c>
      <c r="AC23" s="332">
        <v>22506.67</v>
      </c>
    </row>
    <row r="24" spans="1:29" ht="12.75">
      <c r="A24" s="227" t="s">
        <v>95</v>
      </c>
      <c r="B24" s="404">
        <v>124291.39</v>
      </c>
      <c r="C24" s="591">
        <v>25335.03</v>
      </c>
      <c r="D24" s="404">
        <v>125182.64</v>
      </c>
      <c r="E24" s="591">
        <v>23671.52</v>
      </c>
      <c r="F24" s="404">
        <v>125498.94</v>
      </c>
      <c r="G24" s="591">
        <v>25154.8</v>
      </c>
      <c r="H24" s="404">
        <v>126677.7</v>
      </c>
      <c r="I24" s="591">
        <v>24363.77</v>
      </c>
      <c r="J24" s="404">
        <v>128201.56</v>
      </c>
      <c r="K24" s="591">
        <v>25260.99</v>
      </c>
      <c r="L24" s="404">
        <v>129466.56</v>
      </c>
      <c r="M24" s="591">
        <v>24474.53</v>
      </c>
      <c r="N24" s="406">
        <v>759318.79</v>
      </c>
      <c r="O24" s="407">
        <v>148260.64</v>
      </c>
      <c r="P24" s="404">
        <v>131220.43</v>
      </c>
      <c r="Q24" s="591">
        <v>25410.02</v>
      </c>
      <c r="R24" s="404">
        <v>132715.45</v>
      </c>
      <c r="S24" s="591">
        <v>25474.09</v>
      </c>
      <c r="T24" s="404">
        <v>134843.08</v>
      </c>
      <c r="U24" s="591">
        <v>24825.91</v>
      </c>
      <c r="V24" s="404">
        <v>136223.09</v>
      </c>
      <c r="W24" s="591">
        <v>25684.6</v>
      </c>
      <c r="X24" s="329">
        <v>138293.22</v>
      </c>
      <c r="Y24" s="333">
        <v>25006.42</v>
      </c>
      <c r="Z24" s="404"/>
      <c r="AA24" s="405"/>
      <c r="AB24" s="406">
        <v>1432614.06</v>
      </c>
      <c r="AC24" s="407">
        <v>274661.68</v>
      </c>
    </row>
    <row r="25" spans="1:29" ht="12.75">
      <c r="A25" s="228" t="s">
        <v>124</v>
      </c>
      <c r="B25" s="340">
        <v>0</v>
      </c>
      <c r="C25" s="341">
        <v>0</v>
      </c>
      <c r="D25" s="340">
        <v>0</v>
      </c>
      <c r="E25" s="341">
        <v>0</v>
      </c>
      <c r="F25" s="340">
        <v>0</v>
      </c>
      <c r="G25" s="341">
        <v>0</v>
      </c>
      <c r="H25" s="340">
        <v>0</v>
      </c>
      <c r="I25" s="341">
        <v>0</v>
      </c>
      <c r="J25" s="340">
        <v>0</v>
      </c>
      <c r="K25" s="341">
        <v>0</v>
      </c>
      <c r="L25" s="340">
        <v>894722.918690193</v>
      </c>
      <c r="M25" s="341">
        <v>34065.72</v>
      </c>
      <c r="N25" s="340">
        <v>894722.918690193</v>
      </c>
      <c r="O25" s="341">
        <v>34065.72</v>
      </c>
      <c r="P25" s="340">
        <v>0</v>
      </c>
      <c r="Q25" s="341">
        <v>0</v>
      </c>
      <c r="R25" s="340">
        <v>0</v>
      </c>
      <c r="S25" s="341">
        <v>0</v>
      </c>
      <c r="T25" s="340">
        <v>0</v>
      </c>
      <c r="U25" s="341">
        <v>0</v>
      </c>
      <c r="V25" s="340">
        <v>0</v>
      </c>
      <c r="W25" s="341">
        <v>0</v>
      </c>
      <c r="X25" s="340">
        <v>0</v>
      </c>
      <c r="Y25" s="341">
        <v>0</v>
      </c>
      <c r="Z25" s="340">
        <v>0</v>
      </c>
      <c r="AA25" s="341">
        <v>0</v>
      </c>
      <c r="AB25" s="340">
        <v>894722.918690193</v>
      </c>
      <c r="AC25" s="341">
        <v>34065.72</v>
      </c>
    </row>
    <row r="26" spans="1:29" ht="13.5" thickBot="1">
      <c r="A26" s="229" t="s">
        <v>7</v>
      </c>
      <c r="B26" s="322">
        <v>0</v>
      </c>
      <c r="C26" s="323">
        <v>0</v>
      </c>
      <c r="D26" s="322">
        <v>0</v>
      </c>
      <c r="E26" s="323">
        <v>0</v>
      </c>
      <c r="F26" s="322">
        <v>0</v>
      </c>
      <c r="G26" s="323">
        <v>0</v>
      </c>
      <c r="H26" s="322">
        <v>0</v>
      </c>
      <c r="I26" s="323">
        <v>0</v>
      </c>
      <c r="J26" s="322">
        <v>0</v>
      </c>
      <c r="K26" s="323">
        <v>0</v>
      </c>
      <c r="L26" s="322">
        <v>894722.918690193</v>
      </c>
      <c r="M26" s="323">
        <v>34065.72</v>
      </c>
      <c r="N26" s="354">
        <v>894722.918690193</v>
      </c>
      <c r="O26" s="355">
        <v>34065.72</v>
      </c>
      <c r="P26" s="322">
        <v>0</v>
      </c>
      <c r="Q26" s="323">
        <v>0</v>
      </c>
      <c r="R26" s="322">
        <v>0</v>
      </c>
      <c r="S26" s="323">
        <v>0</v>
      </c>
      <c r="T26" s="322">
        <v>0</v>
      </c>
      <c r="U26" s="323">
        <v>0</v>
      </c>
      <c r="V26" s="322">
        <v>0</v>
      </c>
      <c r="W26" s="323">
        <v>0</v>
      </c>
      <c r="X26" s="329">
        <v>0</v>
      </c>
      <c r="Y26" s="333">
        <v>0</v>
      </c>
      <c r="Z26" s="575"/>
      <c r="AA26" s="576"/>
      <c r="AB26" s="354">
        <v>894722.918690193</v>
      </c>
      <c r="AC26" s="355">
        <v>34065.72</v>
      </c>
    </row>
    <row r="27" spans="1:29" ht="13.5" thickBot="1">
      <c r="A27" s="136" t="s">
        <v>120</v>
      </c>
      <c r="B27" s="356">
        <v>576963.14</v>
      </c>
      <c r="C27" s="357">
        <v>117605.66</v>
      </c>
      <c r="D27" s="356">
        <v>581100.38</v>
      </c>
      <c r="E27" s="357">
        <v>109883.73</v>
      </c>
      <c r="F27" s="356">
        <v>582568.6</v>
      </c>
      <c r="G27" s="357">
        <v>116769.07</v>
      </c>
      <c r="H27" s="356">
        <v>588040.49</v>
      </c>
      <c r="I27" s="357">
        <v>113097.14</v>
      </c>
      <c r="J27" s="356">
        <v>595114.2</v>
      </c>
      <c r="K27" s="357">
        <v>117261.98</v>
      </c>
      <c r="L27" s="356">
        <v>1495709.368690193</v>
      </c>
      <c r="M27" s="357">
        <v>147676.91</v>
      </c>
      <c r="N27" s="356">
        <v>4419496.178690193</v>
      </c>
      <c r="O27" s="357">
        <v>722294.49</v>
      </c>
      <c r="P27" s="356">
        <v>609127.86</v>
      </c>
      <c r="Q27" s="357">
        <v>117953.84</v>
      </c>
      <c r="R27" s="356">
        <v>616067.84</v>
      </c>
      <c r="S27" s="357">
        <v>118251.31</v>
      </c>
      <c r="T27" s="356">
        <v>625944.28</v>
      </c>
      <c r="U27" s="357">
        <v>115242.35</v>
      </c>
      <c r="V27" s="356">
        <v>632350.4</v>
      </c>
      <c r="W27" s="357">
        <v>119228.41</v>
      </c>
      <c r="X27" s="356">
        <v>641959.92</v>
      </c>
      <c r="Y27" s="357">
        <v>116080.39</v>
      </c>
      <c r="Z27" s="356">
        <v>0</v>
      </c>
      <c r="AA27" s="357">
        <v>0</v>
      </c>
      <c r="AB27" s="356">
        <v>7544946.478690194</v>
      </c>
      <c r="AC27" s="357">
        <v>1309050.79</v>
      </c>
    </row>
    <row r="28" ht="12">
      <c r="A28" s="14"/>
    </row>
    <row r="29" spans="1:29" ht="12.75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24" customHeight="1" thickBot="1">
      <c r="A30" s="154"/>
      <c r="B30" s="39"/>
      <c r="C30" s="39"/>
      <c r="D30" s="39"/>
      <c r="E30" s="39"/>
      <c r="F30" s="91"/>
      <c r="G30" s="92" t="s">
        <v>83</v>
      </c>
      <c r="H30" s="39"/>
      <c r="I30" s="92"/>
      <c r="J30" s="39"/>
      <c r="K30" s="39"/>
      <c r="L30" s="39"/>
      <c r="M30" s="39"/>
      <c r="N30" s="39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8"/>
    </row>
    <row r="31" spans="1:30" ht="12.75">
      <c r="A31" s="230" t="s">
        <v>28</v>
      </c>
      <c r="B31" s="358">
        <v>0</v>
      </c>
      <c r="C31" s="359">
        <v>0</v>
      </c>
      <c r="D31" s="358">
        <v>0</v>
      </c>
      <c r="E31" s="359">
        <v>0</v>
      </c>
      <c r="F31" s="358">
        <v>0</v>
      </c>
      <c r="G31" s="359">
        <v>0</v>
      </c>
      <c r="H31" s="358">
        <v>371554.67</v>
      </c>
      <c r="I31" s="359">
        <v>38451.38</v>
      </c>
      <c r="J31" s="358">
        <v>0</v>
      </c>
      <c r="K31" s="359">
        <v>0</v>
      </c>
      <c r="L31" s="358">
        <v>0</v>
      </c>
      <c r="M31" s="359">
        <v>0</v>
      </c>
      <c r="N31" s="358">
        <v>371554.67</v>
      </c>
      <c r="O31" s="359">
        <v>38451.38</v>
      </c>
      <c r="P31" s="358">
        <v>0</v>
      </c>
      <c r="Q31" s="359">
        <v>0</v>
      </c>
      <c r="R31" s="358">
        <v>378758.86</v>
      </c>
      <c r="S31" s="359">
        <v>31574.41</v>
      </c>
      <c r="T31" s="358">
        <v>0</v>
      </c>
      <c r="U31" s="359">
        <v>0</v>
      </c>
      <c r="V31" s="358">
        <v>0</v>
      </c>
      <c r="W31" s="359">
        <v>0</v>
      </c>
      <c r="X31" s="358">
        <v>0</v>
      </c>
      <c r="Y31" s="359">
        <v>0</v>
      </c>
      <c r="Z31" s="358">
        <v>0</v>
      </c>
      <c r="AA31" s="359">
        <v>0</v>
      </c>
      <c r="AB31" s="358">
        <v>750313.53</v>
      </c>
      <c r="AC31" s="359">
        <v>70025.79</v>
      </c>
      <c r="AD31" s="1"/>
    </row>
    <row r="32" spans="1:30" ht="12.75">
      <c r="A32" s="231" t="s">
        <v>1</v>
      </c>
      <c r="B32" s="361">
        <v>0</v>
      </c>
      <c r="C32" s="360">
        <v>0</v>
      </c>
      <c r="D32" s="361">
        <v>0</v>
      </c>
      <c r="E32" s="360">
        <v>0</v>
      </c>
      <c r="F32" s="361">
        <v>0</v>
      </c>
      <c r="G32" s="360">
        <v>0</v>
      </c>
      <c r="H32" s="361">
        <v>371554.67</v>
      </c>
      <c r="I32" s="360">
        <v>38451.38</v>
      </c>
      <c r="J32" s="361">
        <v>0</v>
      </c>
      <c r="K32" s="360">
        <v>0</v>
      </c>
      <c r="L32" s="361">
        <v>0</v>
      </c>
      <c r="M32" s="360">
        <v>0</v>
      </c>
      <c r="N32" s="354">
        <v>371554.67</v>
      </c>
      <c r="O32" s="355">
        <v>38451.38</v>
      </c>
      <c r="P32" s="361">
        <v>0</v>
      </c>
      <c r="Q32" s="360">
        <v>0</v>
      </c>
      <c r="R32" s="361">
        <v>378758.86</v>
      </c>
      <c r="S32" s="360">
        <v>31574.41</v>
      </c>
      <c r="T32" s="361">
        <v>0</v>
      </c>
      <c r="U32" s="360">
        <v>0</v>
      </c>
      <c r="V32" s="361">
        <v>0</v>
      </c>
      <c r="W32" s="360">
        <v>0</v>
      </c>
      <c r="X32" s="329">
        <v>0</v>
      </c>
      <c r="Y32" s="333">
        <v>0</v>
      </c>
      <c r="Z32" s="364"/>
      <c r="AA32" s="365"/>
      <c r="AB32" s="354">
        <v>750313.53</v>
      </c>
      <c r="AC32" s="355">
        <v>70025.79</v>
      </c>
      <c r="AD32" s="1"/>
    </row>
    <row r="33" spans="1:30" ht="12.75">
      <c r="A33" s="153" t="s">
        <v>125</v>
      </c>
      <c r="B33" s="366">
        <v>1174936.7</v>
      </c>
      <c r="C33" s="367">
        <v>409316.05</v>
      </c>
      <c r="D33" s="366">
        <v>1186686.08</v>
      </c>
      <c r="E33" s="367">
        <v>397566.65</v>
      </c>
      <c r="F33" s="366">
        <v>1198552.93</v>
      </c>
      <c r="G33" s="367">
        <v>385699.8</v>
      </c>
      <c r="H33" s="366">
        <v>1210538.45</v>
      </c>
      <c r="I33" s="367">
        <v>373714.25</v>
      </c>
      <c r="J33" s="366">
        <v>1222643.84</v>
      </c>
      <c r="K33" s="367">
        <v>361608.88</v>
      </c>
      <c r="L33" s="366">
        <v>1234870.29</v>
      </c>
      <c r="M33" s="367">
        <v>349382.42</v>
      </c>
      <c r="N33" s="366">
        <v>7228228.29</v>
      </c>
      <c r="O33" s="367">
        <v>2277288.05</v>
      </c>
      <c r="P33" s="366">
        <v>1247219</v>
      </c>
      <c r="Q33" s="367">
        <v>337033.72</v>
      </c>
      <c r="R33" s="366">
        <v>1259691.21</v>
      </c>
      <c r="S33" s="367">
        <v>324561.55</v>
      </c>
      <c r="T33" s="366">
        <v>1272288.09</v>
      </c>
      <c r="U33" s="367">
        <v>311964.65</v>
      </c>
      <c r="V33" s="366">
        <v>1285010.97</v>
      </c>
      <c r="W33" s="367">
        <v>299241.74</v>
      </c>
      <c r="X33" s="366">
        <v>1297861.09</v>
      </c>
      <c r="Y33" s="367">
        <v>286391.67</v>
      </c>
      <c r="Z33" s="366">
        <v>0</v>
      </c>
      <c r="AA33" s="367">
        <v>0</v>
      </c>
      <c r="AB33" s="366">
        <v>13590298.649999999</v>
      </c>
      <c r="AC33" s="367">
        <v>3836481.38</v>
      </c>
      <c r="AD33" s="1"/>
    </row>
    <row r="34" spans="1:31" ht="12.75">
      <c r="A34" s="225" t="s">
        <v>1</v>
      </c>
      <c r="B34" s="589">
        <v>119934.2</v>
      </c>
      <c r="C34" s="360">
        <v>41718.98</v>
      </c>
      <c r="D34" s="589">
        <v>121133.54</v>
      </c>
      <c r="E34" s="360">
        <v>40519.64</v>
      </c>
      <c r="F34" s="589">
        <v>122344.87</v>
      </c>
      <c r="G34" s="360">
        <v>39308.3</v>
      </c>
      <c r="H34" s="589">
        <v>123568.32</v>
      </c>
      <c r="I34" s="360">
        <v>38084.85</v>
      </c>
      <c r="J34" s="589">
        <v>124804.01</v>
      </c>
      <c r="K34" s="360">
        <v>36849.17</v>
      </c>
      <c r="L34" s="589">
        <v>126052.05</v>
      </c>
      <c r="M34" s="360">
        <v>35601.13</v>
      </c>
      <c r="N34" s="325">
        <v>737836.99</v>
      </c>
      <c r="O34" s="326">
        <v>232082.07</v>
      </c>
      <c r="P34" s="589">
        <v>127312.57</v>
      </c>
      <c r="Q34" s="360">
        <v>34340.61</v>
      </c>
      <c r="R34" s="589">
        <v>128585.69</v>
      </c>
      <c r="S34" s="360">
        <v>33067.48</v>
      </c>
      <c r="T34" s="589">
        <v>129871.55</v>
      </c>
      <c r="U34" s="360">
        <v>31781.63</v>
      </c>
      <c r="V34" s="589">
        <v>131170.26</v>
      </c>
      <c r="W34" s="360">
        <v>30482.91</v>
      </c>
      <c r="X34" s="329">
        <v>132481.97</v>
      </c>
      <c r="Y34" s="333">
        <v>29171.21</v>
      </c>
      <c r="Z34" s="577"/>
      <c r="AA34" s="578"/>
      <c r="AB34" s="325">
        <v>1387259.03</v>
      </c>
      <c r="AC34" s="326">
        <v>390925.91</v>
      </c>
      <c r="AE34" s="463"/>
    </row>
    <row r="35" spans="1:30" ht="12.75">
      <c r="A35" s="226" t="s">
        <v>21</v>
      </c>
      <c r="B35" s="590">
        <v>74090.61</v>
      </c>
      <c r="C35" s="333">
        <v>25772.34</v>
      </c>
      <c r="D35" s="590">
        <v>74831.52</v>
      </c>
      <c r="E35" s="333">
        <v>25031.43</v>
      </c>
      <c r="F35" s="590">
        <v>75579.83</v>
      </c>
      <c r="G35" s="333">
        <v>24283.12</v>
      </c>
      <c r="H35" s="590">
        <v>76335.63</v>
      </c>
      <c r="I35" s="333">
        <v>23527.32</v>
      </c>
      <c r="J35" s="590">
        <v>77098.99</v>
      </c>
      <c r="K35" s="333">
        <v>22763.96</v>
      </c>
      <c r="L35" s="590">
        <v>77869.98</v>
      </c>
      <c r="M35" s="333">
        <v>21992.97</v>
      </c>
      <c r="N35" s="331">
        <v>455806.56</v>
      </c>
      <c r="O35" s="332">
        <v>143371.14</v>
      </c>
      <c r="P35" s="590">
        <v>78648.68</v>
      </c>
      <c r="Q35" s="333">
        <v>21214.27</v>
      </c>
      <c r="R35" s="590">
        <v>79435.17</v>
      </c>
      <c r="S35" s="333">
        <v>20427.79</v>
      </c>
      <c r="T35" s="590">
        <v>80229.52</v>
      </c>
      <c r="U35" s="333">
        <v>19633.44</v>
      </c>
      <c r="V35" s="590">
        <v>81031.81</v>
      </c>
      <c r="W35" s="333">
        <v>18831.14</v>
      </c>
      <c r="X35" s="329">
        <v>81842.13</v>
      </c>
      <c r="Y35" s="333">
        <v>18020.82</v>
      </c>
      <c r="Z35" s="579"/>
      <c r="AA35" s="580"/>
      <c r="AB35" s="331">
        <v>856993.87</v>
      </c>
      <c r="AC35" s="332">
        <v>241498.6</v>
      </c>
      <c r="AD35" s="1"/>
    </row>
    <row r="36" spans="1:30" ht="12.75">
      <c r="A36" s="226" t="s">
        <v>22</v>
      </c>
      <c r="B36" s="590">
        <v>28448.04</v>
      </c>
      <c r="C36" s="333">
        <v>9895.62</v>
      </c>
      <c r="D36" s="590">
        <v>28732.52</v>
      </c>
      <c r="E36" s="333">
        <v>9611.14</v>
      </c>
      <c r="F36" s="590">
        <v>29019.85</v>
      </c>
      <c r="G36" s="333">
        <v>9323.81</v>
      </c>
      <c r="H36" s="590">
        <v>29310.04</v>
      </c>
      <c r="I36" s="333">
        <v>9033.62</v>
      </c>
      <c r="J36" s="590">
        <v>29603.14</v>
      </c>
      <c r="K36" s="333">
        <v>8740.52</v>
      </c>
      <c r="L36" s="590">
        <v>29899.18</v>
      </c>
      <c r="M36" s="333">
        <v>8444.48</v>
      </c>
      <c r="N36" s="331">
        <v>175012.77</v>
      </c>
      <c r="O36" s="332">
        <v>55049.19</v>
      </c>
      <c r="P36" s="590">
        <v>30198.17</v>
      </c>
      <c r="Q36" s="333">
        <v>8145.49</v>
      </c>
      <c r="R36" s="590">
        <v>30500.15</v>
      </c>
      <c r="S36" s="333">
        <v>7843.51</v>
      </c>
      <c r="T36" s="590">
        <v>30805.15</v>
      </c>
      <c r="U36" s="333">
        <v>7538.51</v>
      </c>
      <c r="V36" s="590">
        <v>31113.2</v>
      </c>
      <c r="W36" s="333">
        <v>7230.46</v>
      </c>
      <c r="X36" s="329">
        <v>31424.33</v>
      </c>
      <c r="Y36" s="333">
        <v>6919.33</v>
      </c>
      <c r="Z36" s="579"/>
      <c r="AA36" s="580"/>
      <c r="AB36" s="331">
        <v>329053.77</v>
      </c>
      <c r="AC36" s="332">
        <v>92726.49</v>
      </c>
      <c r="AD36" s="1"/>
    </row>
    <row r="37" spans="1:30" ht="12.75">
      <c r="A37" s="226" t="s">
        <v>126</v>
      </c>
      <c r="B37" s="590">
        <v>141824.87</v>
      </c>
      <c r="C37" s="333">
        <v>49333.63</v>
      </c>
      <c r="D37" s="590">
        <v>143243.12</v>
      </c>
      <c r="E37" s="333">
        <v>47915.38</v>
      </c>
      <c r="F37" s="590">
        <v>144675.55</v>
      </c>
      <c r="G37" s="333">
        <v>46482.95</v>
      </c>
      <c r="H37" s="590">
        <v>146122.31</v>
      </c>
      <c r="I37" s="333">
        <v>45036.19</v>
      </c>
      <c r="J37" s="590">
        <v>147583.53</v>
      </c>
      <c r="K37" s="333">
        <v>43574.97</v>
      </c>
      <c r="L37" s="590">
        <v>149059.37</v>
      </c>
      <c r="M37" s="333">
        <v>42099.13</v>
      </c>
      <c r="N37" s="331">
        <v>872508.75</v>
      </c>
      <c r="O37" s="332">
        <v>274442.25</v>
      </c>
      <c r="P37" s="590">
        <v>150549.96</v>
      </c>
      <c r="Q37" s="333">
        <v>40608.54</v>
      </c>
      <c r="R37" s="590">
        <v>152055.46</v>
      </c>
      <c r="S37" s="333">
        <v>39103.04</v>
      </c>
      <c r="T37" s="590">
        <v>153576.01</v>
      </c>
      <c r="U37" s="333">
        <v>37582.49</v>
      </c>
      <c r="V37" s="590">
        <v>155111.77</v>
      </c>
      <c r="W37" s="333">
        <v>36046.73</v>
      </c>
      <c r="X37" s="329">
        <v>156662.89</v>
      </c>
      <c r="Y37" s="333">
        <v>34495.61</v>
      </c>
      <c r="Z37" s="579"/>
      <c r="AA37" s="580"/>
      <c r="AB37" s="331">
        <v>1640464.84</v>
      </c>
      <c r="AC37" s="332">
        <v>462278.66</v>
      </c>
      <c r="AD37" s="1"/>
    </row>
    <row r="38" spans="1:30" ht="12.75">
      <c r="A38" s="226" t="s">
        <v>127</v>
      </c>
      <c r="B38" s="590">
        <v>18223.43</v>
      </c>
      <c r="C38" s="333">
        <v>6339</v>
      </c>
      <c r="D38" s="590">
        <v>18405.67</v>
      </c>
      <c r="E38" s="333">
        <v>6156.77</v>
      </c>
      <c r="F38" s="590">
        <v>18589.72</v>
      </c>
      <c r="G38" s="333">
        <v>5972.71</v>
      </c>
      <c r="H38" s="590">
        <v>18775.62</v>
      </c>
      <c r="I38" s="333">
        <v>5786.81</v>
      </c>
      <c r="J38" s="590">
        <v>18963.38</v>
      </c>
      <c r="K38" s="333">
        <v>5599.06</v>
      </c>
      <c r="L38" s="590">
        <v>19153.01</v>
      </c>
      <c r="M38" s="333">
        <v>5409.42</v>
      </c>
      <c r="N38" s="331">
        <v>112110.83</v>
      </c>
      <c r="O38" s="332">
        <v>35263.77</v>
      </c>
      <c r="P38" s="590">
        <v>19344.54</v>
      </c>
      <c r="Q38" s="333">
        <v>5217.89</v>
      </c>
      <c r="R38" s="590">
        <v>19537.99</v>
      </c>
      <c r="S38" s="333">
        <v>5024.45</v>
      </c>
      <c r="T38" s="590">
        <v>19733.37</v>
      </c>
      <c r="U38" s="333">
        <v>4829.07</v>
      </c>
      <c r="V38" s="590">
        <v>19930.7</v>
      </c>
      <c r="W38" s="333">
        <v>4631.73</v>
      </c>
      <c r="X38" s="329">
        <v>20130.01</v>
      </c>
      <c r="Y38" s="333">
        <v>4432.43</v>
      </c>
      <c r="Z38" s="579"/>
      <c r="AA38" s="580"/>
      <c r="AB38" s="331">
        <v>210787.44</v>
      </c>
      <c r="AC38" s="332">
        <v>59399.34</v>
      </c>
      <c r="AD38" s="1"/>
    </row>
    <row r="39" spans="1:30" ht="12.75">
      <c r="A39" s="226" t="s">
        <v>14</v>
      </c>
      <c r="B39" s="590">
        <v>20734.88</v>
      </c>
      <c r="C39" s="333">
        <v>7212.61</v>
      </c>
      <c r="D39" s="590">
        <v>20942.23</v>
      </c>
      <c r="E39" s="333">
        <v>7005.26</v>
      </c>
      <c r="F39" s="590">
        <v>21151.65</v>
      </c>
      <c r="G39" s="333">
        <v>6795.84</v>
      </c>
      <c r="H39" s="590">
        <v>21363.17</v>
      </c>
      <c r="I39" s="333">
        <v>6584.32</v>
      </c>
      <c r="J39" s="590">
        <v>21576.8</v>
      </c>
      <c r="K39" s="333">
        <v>6370.69</v>
      </c>
      <c r="L39" s="590">
        <v>21792.57</v>
      </c>
      <c r="M39" s="333">
        <v>6154.92</v>
      </c>
      <c r="N39" s="331">
        <v>127561.3</v>
      </c>
      <c r="O39" s="332">
        <v>40123.64</v>
      </c>
      <c r="P39" s="590">
        <v>22010.5</v>
      </c>
      <c r="Q39" s="333">
        <v>5936.99</v>
      </c>
      <c r="R39" s="590">
        <v>22230.6</v>
      </c>
      <c r="S39" s="333">
        <v>5716.89</v>
      </c>
      <c r="T39" s="590">
        <v>22452.91</v>
      </c>
      <c r="U39" s="333">
        <v>5494.58</v>
      </c>
      <c r="V39" s="590">
        <v>22677.44</v>
      </c>
      <c r="W39" s="333">
        <v>5270.05</v>
      </c>
      <c r="X39" s="329">
        <v>22904.21</v>
      </c>
      <c r="Y39" s="333">
        <v>5043.28</v>
      </c>
      <c r="Z39" s="579"/>
      <c r="AA39" s="580"/>
      <c r="AB39" s="331">
        <v>239836.96</v>
      </c>
      <c r="AC39" s="332">
        <v>67585.43</v>
      </c>
      <c r="AD39" s="1"/>
    </row>
    <row r="40" spans="1:30" s="42" customFormat="1" ht="12">
      <c r="A40" s="226" t="s">
        <v>13</v>
      </c>
      <c r="B40" s="590">
        <v>108148.81</v>
      </c>
      <c r="C40" s="333">
        <v>37619.45</v>
      </c>
      <c r="D40" s="590">
        <v>109230.3</v>
      </c>
      <c r="E40" s="333">
        <v>36537.96</v>
      </c>
      <c r="F40" s="590">
        <v>110322.6</v>
      </c>
      <c r="G40" s="333">
        <v>35445.65</v>
      </c>
      <c r="H40" s="590">
        <v>111425.82</v>
      </c>
      <c r="I40" s="333">
        <v>34342.43</v>
      </c>
      <c r="J40" s="590">
        <v>112540.08</v>
      </c>
      <c r="K40" s="333">
        <v>33228.17</v>
      </c>
      <c r="L40" s="590">
        <v>113665.48</v>
      </c>
      <c r="M40" s="333">
        <v>32102.77</v>
      </c>
      <c r="N40" s="331">
        <v>665333.09</v>
      </c>
      <c r="O40" s="332">
        <v>209276.43</v>
      </c>
      <c r="P40" s="590">
        <v>114802.14</v>
      </c>
      <c r="Q40" s="333">
        <v>30966.11</v>
      </c>
      <c r="R40" s="590">
        <v>115950.16</v>
      </c>
      <c r="S40" s="333">
        <v>29818.09</v>
      </c>
      <c r="T40" s="590">
        <v>117109.66</v>
      </c>
      <c r="U40" s="333">
        <v>28658.59</v>
      </c>
      <c r="V40" s="590">
        <v>118280.76</v>
      </c>
      <c r="W40" s="333">
        <v>27487.49</v>
      </c>
      <c r="X40" s="329">
        <v>119463.57</v>
      </c>
      <c r="Y40" s="333">
        <v>26304.69</v>
      </c>
      <c r="Z40" s="579"/>
      <c r="AA40" s="580"/>
      <c r="AB40" s="331">
        <v>1250939.38</v>
      </c>
      <c r="AC40" s="332">
        <v>352511.4</v>
      </c>
      <c r="AD40" s="1"/>
    </row>
    <row r="41" spans="1:30" ht="12.75">
      <c r="A41" s="226" t="s">
        <v>9</v>
      </c>
      <c r="B41" s="590">
        <v>35696.26</v>
      </c>
      <c r="C41" s="333">
        <v>12416.91</v>
      </c>
      <c r="D41" s="590">
        <v>36053.22</v>
      </c>
      <c r="E41" s="333">
        <v>12059.94</v>
      </c>
      <c r="F41" s="590">
        <v>36413.75</v>
      </c>
      <c r="G41" s="333">
        <v>11699.41</v>
      </c>
      <c r="H41" s="590">
        <v>36777.89</v>
      </c>
      <c r="I41" s="333">
        <v>11335.27</v>
      </c>
      <c r="J41" s="590">
        <v>37145.67</v>
      </c>
      <c r="K41" s="333">
        <v>10967.49</v>
      </c>
      <c r="L41" s="590">
        <v>37517.13</v>
      </c>
      <c r="M41" s="333">
        <v>10596.04</v>
      </c>
      <c r="N41" s="331">
        <v>219603.92</v>
      </c>
      <c r="O41" s="332">
        <v>69075.06</v>
      </c>
      <c r="P41" s="590">
        <v>37892.3</v>
      </c>
      <c r="Q41" s="333">
        <v>10220.87</v>
      </c>
      <c r="R41" s="590">
        <v>38271.22</v>
      </c>
      <c r="S41" s="333">
        <v>9841.94</v>
      </c>
      <c r="T41" s="590">
        <v>38653.93</v>
      </c>
      <c r="U41" s="333">
        <v>9459.23</v>
      </c>
      <c r="V41" s="590">
        <v>39040.47</v>
      </c>
      <c r="W41" s="333">
        <v>9072.69</v>
      </c>
      <c r="X41" s="329">
        <v>39430.88</v>
      </c>
      <c r="Y41" s="333">
        <v>8682.29</v>
      </c>
      <c r="Z41" s="579"/>
      <c r="AA41" s="580"/>
      <c r="AB41" s="331">
        <v>412892.72</v>
      </c>
      <c r="AC41" s="332">
        <v>116352.08</v>
      </c>
      <c r="AD41" s="1"/>
    </row>
    <row r="42" spans="1:30" s="42" customFormat="1" ht="12">
      <c r="A42" s="226" t="s">
        <v>128</v>
      </c>
      <c r="B42" s="590">
        <v>107088.78</v>
      </c>
      <c r="C42" s="333">
        <v>37250.72</v>
      </c>
      <c r="D42" s="590">
        <v>108159.67</v>
      </c>
      <c r="E42" s="333">
        <v>36179.83</v>
      </c>
      <c r="F42" s="590">
        <v>109241.26</v>
      </c>
      <c r="G42" s="333">
        <v>35098.23</v>
      </c>
      <c r="H42" s="590">
        <v>110333.68</v>
      </c>
      <c r="I42" s="333">
        <v>34005.82</v>
      </c>
      <c r="J42" s="590">
        <v>111437.01</v>
      </c>
      <c r="K42" s="333">
        <v>32902.48</v>
      </c>
      <c r="L42" s="590">
        <v>112551.38</v>
      </c>
      <c r="M42" s="333">
        <v>31788.11</v>
      </c>
      <c r="N42" s="331">
        <v>658811.78</v>
      </c>
      <c r="O42" s="332">
        <v>207225.19</v>
      </c>
      <c r="P42" s="590">
        <v>113676.9</v>
      </c>
      <c r="Q42" s="333">
        <v>30662.6</v>
      </c>
      <c r="R42" s="590">
        <v>114813.67</v>
      </c>
      <c r="S42" s="333">
        <v>29525.83</v>
      </c>
      <c r="T42" s="590">
        <v>115961.8</v>
      </c>
      <c r="U42" s="333">
        <v>28377.69</v>
      </c>
      <c r="V42" s="590">
        <v>117121.42</v>
      </c>
      <c r="W42" s="333">
        <v>27218.07</v>
      </c>
      <c r="X42" s="329">
        <v>118292.64</v>
      </c>
      <c r="Y42" s="333">
        <v>26046.86</v>
      </c>
      <c r="Z42" s="579"/>
      <c r="AA42" s="580"/>
      <c r="AB42" s="331">
        <v>1238678.21</v>
      </c>
      <c r="AC42" s="332">
        <v>349056.24</v>
      </c>
      <c r="AD42" s="1"/>
    </row>
    <row r="43" spans="1:29" ht="12.75">
      <c r="A43" s="226" t="s">
        <v>84</v>
      </c>
      <c r="B43" s="590">
        <v>118236.32</v>
      </c>
      <c r="C43" s="333">
        <v>41128.38</v>
      </c>
      <c r="D43" s="590">
        <v>119418.68</v>
      </c>
      <c r="E43" s="333">
        <v>39946.01</v>
      </c>
      <c r="F43" s="590">
        <v>120612.87</v>
      </c>
      <c r="G43" s="333">
        <v>38751.83</v>
      </c>
      <c r="H43" s="590">
        <v>121819</v>
      </c>
      <c r="I43" s="333">
        <v>37545.7</v>
      </c>
      <c r="J43" s="590">
        <v>123037.19</v>
      </c>
      <c r="K43" s="333">
        <v>36327.51</v>
      </c>
      <c r="L43" s="590">
        <v>124267.56</v>
      </c>
      <c r="M43" s="333">
        <v>35097.13</v>
      </c>
      <c r="N43" s="331">
        <v>727391.62</v>
      </c>
      <c r="O43" s="332">
        <v>228796.56</v>
      </c>
      <c r="P43" s="590">
        <v>125510.23</v>
      </c>
      <c r="Q43" s="333">
        <v>33854.46</v>
      </c>
      <c r="R43" s="590">
        <v>126765.34</v>
      </c>
      <c r="S43" s="333">
        <v>32599.36</v>
      </c>
      <c r="T43" s="590">
        <v>128032.99</v>
      </c>
      <c r="U43" s="333">
        <v>31331.7</v>
      </c>
      <c r="V43" s="590">
        <v>129313.32</v>
      </c>
      <c r="W43" s="333">
        <v>30051.37</v>
      </c>
      <c r="X43" s="329">
        <v>130606.45</v>
      </c>
      <c r="Y43" s="333">
        <v>28758.24</v>
      </c>
      <c r="Z43" s="579"/>
      <c r="AA43" s="580"/>
      <c r="AB43" s="331">
        <v>1367619.95</v>
      </c>
      <c r="AC43" s="332">
        <v>385391.69</v>
      </c>
    </row>
    <row r="44" spans="1:29" ht="12.75">
      <c r="A44" s="226" t="s">
        <v>5</v>
      </c>
      <c r="B44" s="590">
        <v>86860.29</v>
      </c>
      <c r="C44" s="333">
        <v>30214.26</v>
      </c>
      <c r="D44" s="590">
        <v>87728.89</v>
      </c>
      <c r="E44" s="333">
        <v>29345.65</v>
      </c>
      <c r="F44" s="590">
        <v>88606.18</v>
      </c>
      <c r="G44" s="333">
        <v>28468.37</v>
      </c>
      <c r="H44" s="590">
        <v>89492.24</v>
      </c>
      <c r="I44" s="333">
        <v>27582.3</v>
      </c>
      <c r="J44" s="590">
        <v>90387.16</v>
      </c>
      <c r="K44" s="333">
        <v>26687.38</v>
      </c>
      <c r="L44" s="590">
        <v>91291.04</v>
      </c>
      <c r="M44" s="333">
        <v>25783.51</v>
      </c>
      <c r="N44" s="331">
        <v>534365.8</v>
      </c>
      <c r="O44" s="332">
        <v>168081.47</v>
      </c>
      <c r="P44" s="590">
        <v>92203.95</v>
      </c>
      <c r="Q44" s="333">
        <v>24870.6</v>
      </c>
      <c r="R44" s="590">
        <v>93125.99</v>
      </c>
      <c r="S44" s="333">
        <v>23948.56</v>
      </c>
      <c r="T44" s="590">
        <v>94057.25</v>
      </c>
      <c r="U44" s="333">
        <v>23017.3</v>
      </c>
      <c r="V44" s="590">
        <v>94997.82</v>
      </c>
      <c r="W44" s="333">
        <v>22076.73</v>
      </c>
      <c r="X44" s="329">
        <v>95947.8</v>
      </c>
      <c r="Y44" s="333">
        <v>21126.75</v>
      </c>
      <c r="Z44" s="579"/>
      <c r="AA44" s="580"/>
      <c r="AB44" s="331">
        <v>1004698.61</v>
      </c>
      <c r="AC44" s="332">
        <v>283121.41</v>
      </c>
    </row>
    <row r="45" spans="1:29" ht="12.75">
      <c r="A45" s="226" t="s">
        <v>7</v>
      </c>
      <c r="B45" s="590">
        <v>44927.04</v>
      </c>
      <c r="C45" s="333">
        <v>15627.82</v>
      </c>
      <c r="D45" s="590">
        <v>45376.31</v>
      </c>
      <c r="E45" s="333">
        <v>15178.55</v>
      </c>
      <c r="F45" s="590">
        <v>45830.07</v>
      </c>
      <c r="G45" s="333">
        <v>14724.79</v>
      </c>
      <c r="H45" s="590">
        <v>46288.37</v>
      </c>
      <c r="I45" s="333">
        <v>14266.49</v>
      </c>
      <c r="J45" s="590">
        <v>46751.26</v>
      </c>
      <c r="K45" s="333">
        <v>13803.6</v>
      </c>
      <c r="L45" s="590">
        <v>47218.77</v>
      </c>
      <c r="M45" s="333">
        <v>13336.09</v>
      </c>
      <c r="N45" s="331">
        <v>276391.82</v>
      </c>
      <c r="O45" s="332">
        <v>86937.34</v>
      </c>
      <c r="P45" s="590">
        <v>47690.96</v>
      </c>
      <c r="Q45" s="333">
        <v>12863.9</v>
      </c>
      <c r="R45" s="590">
        <v>48167.87</v>
      </c>
      <c r="S45" s="333">
        <v>12386.99</v>
      </c>
      <c r="T45" s="590">
        <v>48649.54</v>
      </c>
      <c r="U45" s="333">
        <v>11905.32</v>
      </c>
      <c r="V45" s="590">
        <v>49136.04</v>
      </c>
      <c r="W45" s="333">
        <v>11418.82</v>
      </c>
      <c r="X45" s="329">
        <v>49627.4</v>
      </c>
      <c r="Y45" s="333">
        <v>10927.46</v>
      </c>
      <c r="Z45" s="579"/>
      <c r="AA45" s="580"/>
      <c r="AB45" s="331">
        <v>519663.63</v>
      </c>
      <c r="AC45" s="332">
        <v>146439.83</v>
      </c>
    </row>
    <row r="46" spans="1:30" ht="12.75">
      <c r="A46" s="226" t="s">
        <v>105</v>
      </c>
      <c r="B46" s="590">
        <v>83926.98</v>
      </c>
      <c r="C46" s="333">
        <v>29193.91</v>
      </c>
      <c r="D46" s="590">
        <v>84766.25</v>
      </c>
      <c r="E46" s="333">
        <v>28354.64</v>
      </c>
      <c r="F46" s="590">
        <v>85613.92</v>
      </c>
      <c r="G46" s="333">
        <v>27506.98</v>
      </c>
      <c r="H46" s="590">
        <v>86470.05</v>
      </c>
      <c r="I46" s="333">
        <v>26650.84</v>
      </c>
      <c r="J46" s="590">
        <v>87334.75</v>
      </c>
      <c r="K46" s="333">
        <v>25786.14</v>
      </c>
      <c r="L46" s="590">
        <v>88208.1</v>
      </c>
      <c r="M46" s="333">
        <v>24912.79</v>
      </c>
      <c r="N46" s="331">
        <v>516320.05</v>
      </c>
      <c r="O46" s="332">
        <v>162405.3</v>
      </c>
      <c r="P46" s="590">
        <v>89090.18</v>
      </c>
      <c r="Q46" s="333">
        <v>24030.71</v>
      </c>
      <c r="R46" s="590">
        <v>89981.09</v>
      </c>
      <c r="S46" s="333">
        <v>23139.81</v>
      </c>
      <c r="T46" s="590">
        <v>90880.9</v>
      </c>
      <c r="U46" s="333">
        <v>22240</v>
      </c>
      <c r="V46" s="590">
        <v>91789.71</v>
      </c>
      <c r="W46" s="333">
        <v>21331.19</v>
      </c>
      <c r="X46" s="329">
        <v>92707.6</v>
      </c>
      <c r="Y46" s="333">
        <v>20413.29</v>
      </c>
      <c r="Z46" s="579"/>
      <c r="AA46" s="580"/>
      <c r="AB46" s="331">
        <v>970769.53</v>
      </c>
      <c r="AC46" s="332">
        <v>273560.3</v>
      </c>
      <c r="AD46" s="1"/>
    </row>
    <row r="47" spans="1:29" ht="12.75">
      <c r="A47" s="226" t="s">
        <v>4</v>
      </c>
      <c r="B47" s="590">
        <v>54883</v>
      </c>
      <c r="C47" s="333">
        <v>19090.99</v>
      </c>
      <c r="D47" s="590">
        <v>55431.83</v>
      </c>
      <c r="E47" s="333">
        <v>18542.16</v>
      </c>
      <c r="F47" s="590">
        <v>55986.15</v>
      </c>
      <c r="G47" s="333">
        <v>17987.84</v>
      </c>
      <c r="H47" s="590">
        <v>56546.01</v>
      </c>
      <c r="I47" s="333">
        <v>17427.98</v>
      </c>
      <c r="J47" s="590">
        <v>57111.47</v>
      </c>
      <c r="K47" s="333">
        <v>16862.52</v>
      </c>
      <c r="L47" s="590">
        <v>57682.58</v>
      </c>
      <c r="M47" s="333">
        <v>16291.41</v>
      </c>
      <c r="N47" s="331">
        <v>337641.04</v>
      </c>
      <c r="O47" s="332">
        <v>106202.9</v>
      </c>
      <c r="P47" s="590">
        <v>58259.41</v>
      </c>
      <c r="Q47" s="333">
        <v>15714.58</v>
      </c>
      <c r="R47" s="590">
        <v>58842</v>
      </c>
      <c r="S47" s="333">
        <v>15131.99</v>
      </c>
      <c r="T47" s="590">
        <v>59430.42</v>
      </c>
      <c r="U47" s="333">
        <v>14543.57</v>
      </c>
      <c r="V47" s="590">
        <v>60024.73</v>
      </c>
      <c r="W47" s="333">
        <v>13949.26</v>
      </c>
      <c r="X47" s="329">
        <v>60624.98</v>
      </c>
      <c r="Y47" s="333">
        <v>13349.02</v>
      </c>
      <c r="Z47" s="579"/>
      <c r="AA47" s="580"/>
      <c r="AB47" s="331">
        <v>634822.58</v>
      </c>
      <c r="AC47" s="332">
        <v>178891.32</v>
      </c>
    </row>
    <row r="48" spans="1:29" ht="12.75">
      <c r="A48" s="226" t="s">
        <v>10</v>
      </c>
      <c r="B48" s="590">
        <v>45669.59</v>
      </c>
      <c r="C48" s="333">
        <v>16501.68</v>
      </c>
      <c r="D48" s="590">
        <v>46126.29</v>
      </c>
      <c r="E48" s="333">
        <v>16044.98</v>
      </c>
      <c r="F48" s="590">
        <v>46587.55</v>
      </c>
      <c r="G48" s="333">
        <v>15583.72</v>
      </c>
      <c r="H48" s="590">
        <v>47053.43</v>
      </c>
      <c r="I48" s="333">
        <v>15117.84</v>
      </c>
      <c r="J48" s="590">
        <v>47523.96</v>
      </c>
      <c r="K48" s="333">
        <v>14647.31</v>
      </c>
      <c r="L48" s="590">
        <v>47999.2</v>
      </c>
      <c r="M48" s="333">
        <v>14172.07</v>
      </c>
      <c r="N48" s="331">
        <v>280960.02</v>
      </c>
      <c r="O48" s="332">
        <v>92067.6</v>
      </c>
      <c r="P48" s="590">
        <v>48479.19</v>
      </c>
      <c r="Q48" s="333">
        <v>13692.08</v>
      </c>
      <c r="R48" s="590">
        <v>48963.99</v>
      </c>
      <c r="S48" s="333">
        <v>13207.28</v>
      </c>
      <c r="T48" s="590">
        <v>49453.63</v>
      </c>
      <c r="U48" s="333">
        <v>12717.64</v>
      </c>
      <c r="V48" s="590">
        <v>49948.16</v>
      </c>
      <c r="W48" s="333">
        <v>12223.11</v>
      </c>
      <c r="X48" s="329">
        <v>50447.64</v>
      </c>
      <c r="Y48" s="333">
        <v>11723.63</v>
      </c>
      <c r="Z48" s="579"/>
      <c r="AA48" s="580"/>
      <c r="AB48" s="331">
        <v>528252.63</v>
      </c>
      <c r="AC48" s="332">
        <v>155631.34</v>
      </c>
    </row>
    <row r="49" spans="1:29" ht="12.75">
      <c r="A49" s="226" t="s">
        <v>95</v>
      </c>
      <c r="B49" s="590">
        <v>66131.51</v>
      </c>
      <c r="C49" s="333">
        <v>23003.78</v>
      </c>
      <c r="D49" s="590">
        <v>66792.83</v>
      </c>
      <c r="E49" s="333">
        <v>22342.46</v>
      </c>
      <c r="F49" s="590">
        <v>67460.76</v>
      </c>
      <c r="G49" s="333">
        <v>21674.53</v>
      </c>
      <c r="H49" s="590">
        <v>68135.36</v>
      </c>
      <c r="I49" s="333">
        <v>20999.92</v>
      </c>
      <c r="J49" s="590">
        <v>68816.72</v>
      </c>
      <c r="K49" s="333">
        <v>20318.57</v>
      </c>
      <c r="L49" s="590">
        <v>69504.88</v>
      </c>
      <c r="M49" s="333">
        <v>19630.4</v>
      </c>
      <c r="N49" s="331">
        <v>406842.06</v>
      </c>
      <c r="O49" s="332">
        <v>127969.66</v>
      </c>
      <c r="P49" s="590">
        <v>70199.93</v>
      </c>
      <c r="Q49" s="333">
        <v>18935.35</v>
      </c>
      <c r="R49" s="590">
        <v>70901.93</v>
      </c>
      <c r="S49" s="333">
        <v>18233.36</v>
      </c>
      <c r="T49" s="590">
        <v>71610.95</v>
      </c>
      <c r="U49" s="333">
        <v>17524.34</v>
      </c>
      <c r="V49" s="590">
        <v>72327.06</v>
      </c>
      <c r="W49" s="333">
        <v>16808.23</v>
      </c>
      <c r="X49" s="329">
        <v>73050.33</v>
      </c>
      <c r="Y49" s="333">
        <v>16084.96</v>
      </c>
      <c r="Z49" s="579"/>
      <c r="AA49" s="580"/>
      <c r="AB49" s="331">
        <v>764932.26</v>
      </c>
      <c r="AC49" s="332">
        <v>215555.9</v>
      </c>
    </row>
    <row r="50" spans="1:29" ht="12.75">
      <c r="A50" s="227" t="s">
        <v>6</v>
      </c>
      <c r="B50" s="350">
        <v>20112.09</v>
      </c>
      <c r="C50" s="360">
        <v>6995.97</v>
      </c>
      <c r="D50" s="350">
        <v>20313.21</v>
      </c>
      <c r="E50" s="360">
        <v>6794.85</v>
      </c>
      <c r="F50" s="350">
        <v>20516.35</v>
      </c>
      <c r="G50" s="360">
        <v>6591.72</v>
      </c>
      <c r="H50" s="350">
        <v>20721.51</v>
      </c>
      <c r="I50" s="360">
        <v>6386.55</v>
      </c>
      <c r="J50" s="350">
        <v>20928.72</v>
      </c>
      <c r="K50" s="360">
        <v>6179.34</v>
      </c>
      <c r="L50" s="350">
        <v>21138.01</v>
      </c>
      <c r="M50" s="360">
        <v>5970.05</v>
      </c>
      <c r="N50" s="406">
        <v>123729.89</v>
      </c>
      <c r="O50" s="407">
        <v>38918.48</v>
      </c>
      <c r="P50" s="350">
        <v>21349.39</v>
      </c>
      <c r="Q50" s="360">
        <v>5758.67</v>
      </c>
      <c r="R50" s="350">
        <v>21562.89</v>
      </c>
      <c r="S50" s="360">
        <v>5545.18</v>
      </c>
      <c r="T50" s="350">
        <v>21778.51</v>
      </c>
      <c r="U50" s="360">
        <v>5329.55</v>
      </c>
      <c r="V50" s="350">
        <v>21996.3</v>
      </c>
      <c r="W50" s="360">
        <v>5111.76</v>
      </c>
      <c r="X50" s="329">
        <v>22216.26</v>
      </c>
      <c r="Y50" s="333">
        <v>4891.8</v>
      </c>
      <c r="Z50" s="581"/>
      <c r="AA50" s="582"/>
      <c r="AB50" s="406">
        <v>232633.24</v>
      </c>
      <c r="AC50" s="407">
        <v>65555.44</v>
      </c>
    </row>
    <row r="51" spans="1:31" ht="12.75">
      <c r="A51" s="153" t="s">
        <v>27</v>
      </c>
      <c r="B51" s="366">
        <v>106181.9</v>
      </c>
      <c r="C51" s="367">
        <v>18697.71</v>
      </c>
      <c r="D51" s="366">
        <v>106997.58</v>
      </c>
      <c r="E51" s="367">
        <v>17455.75</v>
      </c>
      <c r="F51" s="366">
        <v>107890.05</v>
      </c>
      <c r="G51" s="367">
        <v>18631.98</v>
      </c>
      <c r="H51" s="366">
        <v>108793.57</v>
      </c>
      <c r="I51" s="367">
        <v>18003.1</v>
      </c>
      <c r="J51" s="366">
        <v>109803.08</v>
      </c>
      <c r="K51" s="367">
        <v>18589.31</v>
      </c>
      <c r="L51" s="366">
        <v>110699.26</v>
      </c>
      <c r="M51" s="367">
        <v>17954.51</v>
      </c>
      <c r="N51" s="366">
        <v>650365.44</v>
      </c>
      <c r="O51" s="367">
        <v>109332.36</v>
      </c>
      <c r="P51" s="366">
        <v>111580.8</v>
      </c>
      <c r="Q51" s="367">
        <v>18511.2</v>
      </c>
      <c r="R51" s="366">
        <v>112389.16</v>
      </c>
      <c r="S51" s="367">
        <v>18454.41</v>
      </c>
      <c r="T51" s="366">
        <v>113354.82</v>
      </c>
      <c r="U51" s="367">
        <v>17826.21</v>
      </c>
      <c r="V51" s="366">
        <v>114393.64</v>
      </c>
      <c r="W51" s="367">
        <v>18394.92</v>
      </c>
      <c r="X51" s="366">
        <v>115333.65</v>
      </c>
      <c r="Y51" s="367">
        <v>17758.23</v>
      </c>
      <c r="Z51" s="366">
        <v>0</v>
      </c>
      <c r="AA51" s="367">
        <v>0</v>
      </c>
      <c r="AB51" s="366">
        <v>1217417.51</v>
      </c>
      <c r="AC51" s="367">
        <v>200277.33</v>
      </c>
      <c r="AD51" s="398"/>
      <c r="AE51" s="398"/>
    </row>
    <row r="52" spans="1:31" ht="12.75">
      <c r="A52" s="225" t="s">
        <v>22</v>
      </c>
      <c r="B52" s="352">
        <v>0</v>
      </c>
      <c r="C52" s="353">
        <v>0</v>
      </c>
      <c r="D52" s="352">
        <v>0</v>
      </c>
      <c r="E52" s="353">
        <v>0</v>
      </c>
      <c r="F52" s="352">
        <v>0</v>
      </c>
      <c r="G52" s="353">
        <v>0</v>
      </c>
      <c r="H52" s="352">
        <v>0</v>
      </c>
      <c r="I52" s="353">
        <v>0</v>
      </c>
      <c r="J52" s="352">
        <v>0</v>
      </c>
      <c r="K52" s="353">
        <v>0</v>
      </c>
      <c r="L52" s="352">
        <v>0</v>
      </c>
      <c r="M52" s="353">
        <v>0</v>
      </c>
      <c r="N52" s="325">
        <v>0</v>
      </c>
      <c r="O52" s="326">
        <v>0</v>
      </c>
      <c r="P52" s="352">
        <v>0</v>
      </c>
      <c r="Q52" s="353">
        <v>0</v>
      </c>
      <c r="R52" s="352">
        <v>0</v>
      </c>
      <c r="S52" s="353">
        <v>0</v>
      </c>
      <c r="T52" s="352">
        <v>0</v>
      </c>
      <c r="U52" s="353">
        <v>0</v>
      </c>
      <c r="V52" s="352">
        <v>0</v>
      </c>
      <c r="W52" s="353">
        <v>0</v>
      </c>
      <c r="X52" s="329">
        <v>0</v>
      </c>
      <c r="Y52" s="333">
        <v>0</v>
      </c>
      <c r="Z52" s="414"/>
      <c r="AA52" s="415"/>
      <c r="AB52" s="325">
        <v>0</v>
      </c>
      <c r="AC52" s="326">
        <v>0</v>
      </c>
      <c r="AE52" s="398"/>
    </row>
    <row r="53" spans="1:29" ht="12.75">
      <c r="A53" s="226" t="s">
        <v>128</v>
      </c>
      <c r="B53" s="352">
        <v>99969.48</v>
      </c>
      <c r="C53" s="353">
        <v>17603.76</v>
      </c>
      <c r="D53" s="352">
        <v>100737.43</v>
      </c>
      <c r="E53" s="353">
        <v>16434.46</v>
      </c>
      <c r="F53" s="352">
        <v>101577.7</v>
      </c>
      <c r="G53" s="353">
        <v>17541.87</v>
      </c>
      <c r="H53" s="352">
        <v>102428.34</v>
      </c>
      <c r="I53" s="353">
        <v>16949.78</v>
      </c>
      <c r="J53" s="352">
        <v>103378.8</v>
      </c>
      <c r="K53" s="353">
        <v>17501.7</v>
      </c>
      <c r="L53" s="352">
        <v>104222.54</v>
      </c>
      <c r="M53" s="353">
        <v>16904.04</v>
      </c>
      <c r="N53" s="331">
        <v>612314.29</v>
      </c>
      <c r="O53" s="332">
        <v>102935.61</v>
      </c>
      <c r="P53" s="352">
        <v>105052.5</v>
      </c>
      <c r="Q53" s="353">
        <v>17428.16</v>
      </c>
      <c r="R53" s="352">
        <v>105813.57</v>
      </c>
      <c r="S53" s="353">
        <v>17374.68</v>
      </c>
      <c r="T53" s="352">
        <v>106722.73</v>
      </c>
      <c r="U53" s="353">
        <v>16783.25</v>
      </c>
      <c r="V53" s="352">
        <v>107700.77</v>
      </c>
      <c r="W53" s="353">
        <v>17318.68</v>
      </c>
      <c r="X53" s="329">
        <v>108585.79</v>
      </c>
      <c r="Y53" s="333">
        <v>16719.24</v>
      </c>
      <c r="Z53" s="372"/>
      <c r="AA53" s="373"/>
      <c r="AB53" s="331">
        <v>1146189.65</v>
      </c>
      <c r="AC53" s="332">
        <v>188559.62</v>
      </c>
    </row>
    <row r="54" spans="1:29" ht="12.75">
      <c r="A54" s="227" t="s">
        <v>95</v>
      </c>
      <c r="B54" s="352">
        <v>6212.42</v>
      </c>
      <c r="C54" s="353">
        <v>1093.95</v>
      </c>
      <c r="D54" s="352">
        <v>6260.15</v>
      </c>
      <c r="E54" s="353">
        <v>1021.29</v>
      </c>
      <c r="F54" s="352">
        <v>6312.35</v>
      </c>
      <c r="G54" s="353">
        <v>1090.11</v>
      </c>
      <c r="H54" s="352">
        <v>6365.23</v>
      </c>
      <c r="I54" s="353">
        <v>1053.32</v>
      </c>
      <c r="J54" s="352">
        <v>6424.28</v>
      </c>
      <c r="K54" s="353">
        <v>1087.61</v>
      </c>
      <c r="L54" s="352">
        <v>6476.72</v>
      </c>
      <c r="M54" s="353">
        <v>1050.47</v>
      </c>
      <c r="N54" s="406">
        <v>38051.15</v>
      </c>
      <c r="O54" s="407">
        <v>6396.75</v>
      </c>
      <c r="P54" s="352">
        <v>6528.3</v>
      </c>
      <c r="Q54" s="353">
        <v>1083.04</v>
      </c>
      <c r="R54" s="352">
        <v>6575.59</v>
      </c>
      <c r="S54" s="353">
        <v>1079.73</v>
      </c>
      <c r="T54" s="352">
        <v>6632.09</v>
      </c>
      <c r="U54" s="353">
        <v>1042.96</v>
      </c>
      <c r="V54" s="352">
        <v>6692.87</v>
      </c>
      <c r="W54" s="353">
        <v>1076.24</v>
      </c>
      <c r="X54" s="329">
        <v>6747.86</v>
      </c>
      <c r="Y54" s="333">
        <v>1038.99</v>
      </c>
      <c r="Z54" s="418"/>
      <c r="AA54" s="419"/>
      <c r="AB54" s="406">
        <v>71227.86</v>
      </c>
      <c r="AC54" s="407">
        <v>11717.71</v>
      </c>
    </row>
    <row r="55" spans="1:31" ht="12.75">
      <c r="A55" s="152" t="s">
        <v>200</v>
      </c>
      <c r="B55" s="366">
        <v>618905.49</v>
      </c>
      <c r="C55" s="367">
        <v>397774.5853424657</v>
      </c>
      <c r="D55" s="366">
        <v>626702.45</v>
      </c>
      <c r="E55" s="367">
        <v>389977.6353424658</v>
      </c>
      <c r="F55" s="366">
        <v>634598.27</v>
      </c>
      <c r="G55" s="367">
        <v>499558.70904109586</v>
      </c>
      <c r="H55" s="366">
        <v>642594.17</v>
      </c>
      <c r="I55" s="367">
        <v>494085.9053424658</v>
      </c>
      <c r="J55" s="366">
        <v>650691.47</v>
      </c>
      <c r="K55" s="367">
        <v>481164.1390410959</v>
      </c>
      <c r="L55" s="366">
        <v>808146.23</v>
      </c>
      <c r="M55" s="367">
        <v>474974.35</v>
      </c>
      <c r="N55" s="366">
        <v>3981638.08</v>
      </c>
      <c r="O55" s="367">
        <v>2737535.324109589</v>
      </c>
      <c r="P55" s="366">
        <v>818354.76</v>
      </c>
      <c r="Q55" s="367">
        <v>464765.84</v>
      </c>
      <c r="R55" s="366">
        <v>828692.87</v>
      </c>
      <c r="S55" s="367">
        <v>454427.7</v>
      </c>
      <c r="T55" s="366">
        <v>936373.33</v>
      </c>
      <c r="U55" s="367">
        <v>443958.3</v>
      </c>
      <c r="V55" s="366">
        <v>948433.84</v>
      </c>
      <c r="W55" s="367">
        <v>431897.8</v>
      </c>
      <c r="X55" s="366">
        <v>960650.84</v>
      </c>
      <c r="Y55" s="367">
        <v>419680.8</v>
      </c>
      <c r="Z55" s="366">
        <v>0</v>
      </c>
      <c r="AA55" s="367">
        <v>0</v>
      </c>
      <c r="AB55" s="366">
        <v>8474143.72</v>
      </c>
      <c r="AC55" s="367">
        <v>4952265.764109588</v>
      </c>
      <c r="AD55" s="398"/>
      <c r="AE55" s="398"/>
    </row>
    <row r="56" spans="1:29" ht="12.75" customHeight="1">
      <c r="A56" s="522" t="s">
        <v>198</v>
      </c>
      <c r="B56" s="352">
        <v>0</v>
      </c>
      <c r="C56" s="353">
        <v>0</v>
      </c>
      <c r="D56" s="352">
        <v>0</v>
      </c>
      <c r="E56" s="353">
        <v>0</v>
      </c>
      <c r="F56" s="352">
        <v>0</v>
      </c>
      <c r="G56" s="353">
        <v>0</v>
      </c>
      <c r="H56" s="352">
        <v>0</v>
      </c>
      <c r="I56" s="353">
        <v>0</v>
      </c>
      <c r="J56" s="352">
        <v>0</v>
      </c>
      <c r="K56" s="353">
        <v>0</v>
      </c>
      <c r="L56" s="352">
        <v>0</v>
      </c>
      <c r="M56" s="353">
        <v>0</v>
      </c>
      <c r="N56" s="338">
        <v>0</v>
      </c>
      <c r="O56" s="339">
        <v>0</v>
      </c>
      <c r="P56" s="352">
        <v>0</v>
      </c>
      <c r="Q56" s="353">
        <v>0</v>
      </c>
      <c r="R56" s="352">
        <v>0</v>
      </c>
      <c r="S56" s="353">
        <v>0</v>
      </c>
      <c r="T56" s="352">
        <v>0</v>
      </c>
      <c r="U56" s="353">
        <v>0</v>
      </c>
      <c r="V56" s="352">
        <v>0</v>
      </c>
      <c r="W56" s="353">
        <v>0</v>
      </c>
      <c r="X56" s="329">
        <v>0</v>
      </c>
      <c r="Y56" s="333">
        <v>0</v>
      </c>
      <c r="Z56" s="583"/>
      <c r="AA56" s="584"/>
      <c r="AB56" s="338">
        <v>0</v>
      </c>
      <c r="AC56" s="339">
        <v>0</v>
      </c>
    </row>
    <row r="57" spans="1:29" ht="12.75">
      <c r="A57" s="389" t="s">
        <v>22</v>
      </c>
      <c r="B57" s="352">
        <v>136229.2</v>
      </c>
      <c r="C57" s="353">
        <v>37164.57</v>
      </c>
      <c r="D57" s="352">
        <v>138067.16</v>
      </c>
      <c r="E57" s="353">
        <v>35326.61</v>
      </c>
      <c r="F57" s="352">
        <v>139929.92</v>
      </c>
      <c r="G57" s="353">
        <v>33463.85</v>
      </c>
      <c r="H57" s="352">
        <v>141817.8</v>
      </c>
      <c r="I57" s="353">
        <v>31575.97</v>
      </c>
      <c r="J57" s="352">
        <v>143731.16</v>
      </c>
      <c r="K57" s="353">
        <v>29662.61</v>
      </c>
      <c r="L57" s="352">
        <v>145670.34</v>
      </c>
      <c r="M57" s="353">
        <v>27723.43</v>
      </c>
      <c r="N57" s="331">
        <v>845445.58</v>
      </c>
      <c r="O57" s="332">
        <v>194917.04</v>
      </c>
      <c r="P57" s="352">
        <v>147635.67</v>
      </c>
      <c r="Q57" s="353">
        <v>25758.1</v>
      </c>
      <c r="R57" s="352">
        <v>149627.52</v>
      </c>
      <c r="S57" s="353">
        <v>23766.25</v>
      </c>
      <c r="T57" s="352">
        <v>151646.25</v>
      </c>
      <c r="U57" s="353">
        <v>21747.52</v>
      </c>
      <c r="V57" s="352">
        <v>153692.21</v>
      </c>
      <c r="W57" s="353">
        <v>19701.56</v>
      </c>
      <c r="X57" s="329">
        <v>155765.77</v>
      </c>
      <c r="Y57" s="333">
        <v>17628</v>
      </c>
      <c r="Z57" s="579"/>
      <c r="AA57" s="580"/>
      <c r="AB57" s="331">
        <v>1603813</v>
      </c>
      <c r="AC57" s="332">
        <v>303518.47</v>
      </c>
    </row>
    <row r="58" spans="1:29" ht="12.75">
      <c r="A58" s="389" t="s">
        <v>126</v>
      </c>
      <c r="B58" s="352">
        <v>0</v>
      </c>
      <c r="C58" s="353">
        <v>0</v>
      </c>
      <c r="D58" s="352">
        <v>0</v>
      </c>
      <c r="E58" s="353">
        <v>0</v>
      </c>
      <c r="F58" s="352">
        <v>0</v>
      </c>
      <c r="G58" s="353">
        <v>122301.37</v>
      </c>
      <c r="H58" s="352">
        <v>0</v>
      </c>
      <c r="I58" s="353">
        <v>120000</v>
      </c>
      <c r="J58" s="352">
        <v>0</v>
      </c>
      <c r="K58" s="353">
        <v>120000</v>
      </c>
      <c r="L58" s="352">
        <v>0</v>
      </c>
      <c r="M58" s="353">
        <v>120000</v>
      </c>
      <c r="N58" s="331">
        <v>0</v>
      </c>
      <c r="O58" s="332">
        <v>482301.37</v>
      </c>
      <c r="P58" s="352">
        <v>0</v>
      </c>
      <c r="Q58" s="353">
        <v>120000</v>
      </c>
      <c r="R58" s="352">
        <v>0</v>
      </c>
      <c r="S58" s="353">
        <v>120000</v>
      </c>
      <c r="T58" s="352">
        <v>97211.05</v>
      </c>
      <c r="U58" s="353">
        <v>120000</v>
      </c>
      <c r="V58" s="352">
        <v>98669.22</v>
      </c>
      <c r="W58" s="353">
        <v>118541.83</v>
      </c>
      <c r="X58" s="329">
        <v>100149.25</v>
      </c>
      <c r="Y58" s="333">
        <v>117061.8</v>
      </c>
      <c r="Z58" s="579"/>
      <c r="AA58" s="580"/>
      <c r="AB58" s="331">
        <v>296029.52</v>
      </c>
      <c r="AC58" s="332">
        <v>1077905</v>
      </c>
    </row>
    <row r="59" spans="1:29" ht="12.75">
      <c r="A59" s="388" t="s">
        <v>84</v>
      </c>
      <c r="B59" s="352">
        <v>244607.74</v>
      </c>
      <c r="C59" s="353">
        <v>76513.77</v>
      </c>
      <c r="D59" s="352">
        <v>247652.6</v>
      </c>
      <c r="E59" s="353">
        <v>73468.91</v>
      </c>
      <c r="F59" s="352">
        <v>250735.36</v>
      </c>
      <c r="G59" s="353">
        <v>70386.16</v>
      </c>
      <c r="H59" s="352">
        <v>253856.49</v>
      </c>
      <c r="I59" s="353">
        <v>67265.02</v>
      </c>
      <c r="J59" s="352">
        <v>257016.48</v>
      </c>
      <c r="K59" s="353">
        <v>64105.04</v>
      </c>
      <c r="L59" s="352">
        <v>260215.79</v>
      </c>
      <c r="M59" s="353">
        <v>60905.72</v>
      </c>
      <c r="N59" s="331">
        <v>1514084.46</v>
      </c>
      <c r="O59" s="332">
        <v>412644.62</v>
      </c>
      <c r="P59" s="352">
        <v>263454.94</v>
      </c>
      <c r="Q59" s="353">
        <v>57666.57</v>
      </c>
      <c r="R59" s="352">
        <v>266734.4</v>
      </c>
      <c r="S59" s="353">
        <v>54387.11</v>
      </c>
      <c r="T59" s="352">
        <v>270054.69</v>
      </c>
      <c r="U59" s="353">
        <v>51066.82</v>
      </c>
      <c r="V59" s="352">
        <v>273416.31</v>
      </c>
      <c r="W59" s="353">
        <v>47705.2</v>
      </c>
      <c r="X59" s="329">
        <v>276819.77</v>
      </c>
      <c r="Y59" s="333">
        <v>44301.74</v>
      </c>
      <c r="Z59" s="579"/>
      <c r="AA59" s="580"/>
      <c r="AB59" s="331">
        <v>2864564.57</v>
      </c>
      <c r="AC59" s="332">
        <v>667772.06</v>
      </c>
    </row>
    <row r="60" spans="1:29" ht="12.75" customHeight="1">
      <c r="A60" s="388" t="s">
        <v>23</v>
      </c>
      <c r="B60" s="352">
        <v>60513.1</v>
      </c>
      <c r="C60" s="353">
        <v>16828.13</v>
      </c>
      <c r="D60" s="352">
        <v>61109.94</v>
      </c>
      <c r="E60" s="353">
        <v>16231.29</v>
      </c>
      <c r="F60" s="352">
        <v>61712.67</v>
      </c>
      <c r="G60" s="353">
        <v>15628.56</v>
      </c>
      <c r="H60" s="352">
        <v>62321.34</v>
      </c>
      <c r="I60" s="353">
        <v>15019.88</v>
      </c>
      <c r="J60" s="352">
        <v>62936.02</v>
      </c>
      <c r="K60" s="353">
        <v>14405.21</v>
      </c>
      <c r="L60" s="352">
        <v>63556.75</v>
      </c>
      <c r="M60" s="353">
        <v>13784.47</v>
      </c>
      <c r="N60" s="331">
        <v>372149.82</v>
      </c>
      <c r="O60" s="332">
        <v>91897.54</v>
      </c>
      <c r="P60" s="352">
        <v>64183.62</v>
      </c>
      <c r="Q60" s="353">
        <v>13157.61</v>
      </c>
      <c r="R60" s="352">
        <v>64816.66</v>
      </c>
      <c r="S60" s="353">
        <v>12524.56</v>
      </c>
      <c r="T60" s="352">
        <v>65455.95</v>
      </c>
      <c r="U60" s="353">
        <v>11885.28</v>
      </c>
      <c r="V60" s="352">
        <v>66101.54</v>
      </c>
      <c r="W60" s="353">
        <v>11239.68</v>
      </c>
      <c r="X60" s="329">
        <v>66753.5</v>
      </c>
      <c r="Y60" s="333">
        <v>10587.72</v>
      </c>
      <c r="Z60" s="579"/>
      <c r="AA60" s="580"/>
      <c r="AB60" s="331">
        <v>699461.09</v>
      </c>
      <c r="AC60" s="332">
        <v>151292.39</v>
      </c>
    </row>
    <row r="61" spans="1:29" ht="12.75" customHeight="1">
      <c r="A61" s="388" t="s">
        <v>105</v>
      </c>
      <c r="B61" s="352">
        <v>0</v>
      </c>
      <c r="C61" s="353">
        <v>149559.07534246577</v>
      </c>
      <c r="D61" s="352">
        <v>0</v>
      </c>
      <c r="E61" s="353">
        <v>149559.07534246577</v>
      </c>
      <c r="F61" s="352">
        <v>0</v>
      </c>
      <c r="G61" s="353">
        <v>144734.5890410959</v>
      </c>
      <c r="H61" s="352">
        <v>0</v>
      </c>
      <c r="I61" s="353">
        <v>149559.07534246577</v>
      </c>
      <c r="J61" s="352">
        <v>0</v>
      </c>
      <c r="K61" s="353">
        <v>144734.5890410959</v>
      </c>
      <c r="L61" s="352">
        <v>149254.79</v>
      </c>
      <c r="M61" s="353">
        <v>146744.79</v>
      </c>
      <c r="N61" s="331">
        <v>149254.79</v>
      </c>
      <c r="O61" s="332">
        <v>884891.1941095892</v>
      </c>
      <c r="P61" s="352">
        <v>151159.35</v>
      </c>
      <c r="Q61" s="353">
        <v>144840.24</v>
      </c>
      <c r="R61" s="352">
        <v>153088.2</v>
      </c>
      <c r="S61" s="353">
        <v>142911.38</v>
      </c>
      <c r="T61" s="352">
        <v>155041.67</v>
      </c>
      <c r="U61" s="353">
        <v>140957.91</v>
      </c>
      <c r="V61" s="352">
        <v>157020.07</v>
      </c>
      <c r="W61" s="353">
        <v>138979.52</v>
      </c>
      <c r="X61" s="329">
        <v>159023.71</v>
      </c>
      <c r="Y61" s="333">
        <v>136975.88</v>
      </c>
      <c r="Z61" s="579"/>
      <c r="AA61" s="580"/>
      <c r="AB61" s="331">
        <v>924587.79</v>
      </c>
      <c r="AC61" s="332">
        <v>1589556.124109589</v>
      </c>
    </row>
    <row r="62" spans="1:29" ht="12.75">
      <c r="A62" s="388" t="s">
        <v>4</v>
      </c>
      <c r="B62" s="352">
        <v>103550.02</v>
      </c>
      <c r="C62" s="353">
        <v>54656.62</v>
      </c>
      <c r="D62" s="352">
        <v>104930.69</v>
      </c>
      <c r="E62" s="353">
        <v>53275.96</v>
      </c>
      <c r="F62" s="352">
        <v>106329.77</v>
      </c>
      <c r="G62" s="353">
        <v>51876.88</v>
      </c>
      <c r="H62" s="352">
        <v>107747.5</v>
      </c>
      <c r="I62" s="353">
        <v>50459.15</v>
      </c>
      <c r="J62" s="352">
        <v>109184.13</v>
      </c>
      <c r="K62" s="353">
        <v>49022.52</v>
      </c>
      <c r="L62" s="352">
        <v>110639.92</v>
      </c>
      <c r="M62" s="353">
        <v>47566.73</v>
      </c>
      <c r="N62" s="331">
        <v>642382.03</v>
      </c>
      <c r="O62" s="332">
        <v>306857.86</v>
      </c>
      <c r="P62" s="352">
        <v>112115.12</v>
      </c>
      <c r="Q62" s="353">
        <v>46091.53</v>
      </c>
      <c r="R62" s="352">
        <v>113609.99</v>
      </c>
      <c r="S62" s="353">
        <v>44596.66</v>
      </c>
      <c r="T62" s="352">
        <v>115124.79</v>
      </c>
      <c r="U62" s="353">
        <v>43081.86</v>
      </c>
      <c r="V62" s="352">
        <v>116659.78</v>
      </c>
      <c r="W62" s="353">
        <v>41546.87</v>
      </c>
      <c r="X62" s="329">
        <v>118215.25</v>
      </c>
      <c r="Y62" s="333">
        <v>39991.4</v>
      </c>
      <c r="Z62" s="579"/>
      <c r="AA62" s="580"/>
      <c r="AB62" s="331">
        <v>1218106.96</v>
      </c>
      <c r="AC62" s="332">
        <v>522166.18</v>
      </c>
    </row>
    <row r="63" spans="1:29" ht="12.75" customHeight="1">
      <c r="A63" s="390" t="s">
        <v>10</v>
      </c>
      <c r="B63" s="352">
        <v>74005.43</v>
      </c>
      <c r="C63" s="353">
        <v>63052.42</v>
      </c>
      <c r="D63" s="352">
        <v>74942.06</v>
      </c>
      <c r="E63" s="353">
        <v>62115.79</v>
      </c>
      <c r="F63" s="352">
        <v>75890.55</v>
      </c>
      <c r="G63" s="353">
        <v>61167.3</v>
      </c>
      <c r="H63" s="352">
        <v>76851.04</v>
      </c>
      <c r="I63" s="353">
        <v>60206.81</v>
      </c>
      <c r="J63" s="352">
        <v>77823.68</v>
      </c>
      <c r="K63" s="353">
        <v>59234.17</v>
      </c>
      <c r="L63" s="352">
        <v>78808.64</v>
      </c>
      <c r="M63" s="353">
        <v>58249.21</v>
      </c>
      <c r="N63" s="338">
        <v>458321.4</v>
      </c>
      <c r="O63" s="339">
        <v>364025.7</v>
      </c>
      <c r="P63" s="352">
        <v>79806.06</v>
      </c>
      <c r="Q63" s="353">
        <v>57251.79</v>
      </c>
      <c r="R63" s="352">
        <v>80816.1</v>
      </c>
      <c r="S63" s="353">
        <v>56241.74</v>
      </c>
      <c r="T63" s="352">
        <v>81838.93</v>
      </c>
      <c r="U63" s="353">
        <v>55218.91</v>
      </c>
      <c r="V63" s="352">
        <v>82874.71</v>
      </c>
      <c r="W63" s="353">
        <v>54183.14</v>
      </c>
      <c r="X63" s="329">
        <v>83923.59</v>
      </c>
      <c r="Y63" s="333">
        <v>53134.26</v>
      </c>
      <c r="Z63" s="585"/>
      <c r="AA63" s="586"/>
      <c r="AB63" s="338">
        <v>867580.79</v>
      </c>
      <c r="AC63" s="339">
        <v>640055.54</v>
      </c>
    </row>
    <row r="64" spans="1:31" ht="12.75">
      <c r="A64" s="153" t="s">
        <v>130</v>
      </c>
      <c r="B64" s="366">
        <v>117212.17</v>
      </c>
      <c r="C64" s="367">
        <v>72085.72</v>
      </c>
      <c r="D64" s="366">
        <v>117212.15</v>
      </c>
      <c r="E64" s="367">
        <v>66623.14</v>
      </c>
      <c r="F64" s="366">
        <v>117212.17</v>
      </c>
      <c r="G64" s="367">
        <v>70891.12</v>
      </c>
      <c r="H64" s="366">
        <v>117212.15</v>
      </c>
      <c r="I64" s="367">
        <v>68026.27</v>
      </c>
      <c r="J64" s="366">
        <v>117212.17</v>
      </c>
      <c r="K64" s="367">
        <v>69696.52</v>
      </c>
      <c r="L64" s="366">
        <v>117212.15</v>
      </c>
      <c r="M64" s="367">
        <v>66870.21</v>
      </c>
      <c r="N64" s="366">
        <v>703272.96</v>
      </c>
      <c r="O64" s="367">
        <v>414192.98</v>
      </c>
      <c r="P64" s="366">
        <v>117212.17</v>
      </c>
      <c r="Q64" s="367">
        <v>68501.92</v>
      </c>
      <c r="R64" s="366">
        <v>117212.15</v>
      </c>
      <c r="S64" s="367">
        <v>67904.62</v>
      </c>
      <c r="T64" s="366">
        <v>117212.17</v>
      </c>
      <c r="U64" s="367">
        <v>65136.12</v>
      </c>
      <c r="V64" s="366">
        <v>117212.15</v>
      </c>
      <c r="W64" s="367">
        <v>66710.02</v>
      </c>
      <c r="X64" s="366">
        <v>117212.17</v>
      </c>
      <c r="Y64" s="367">
        <v>63980.05</v>
      </c>
      <c r="Z64" s="366">
        <v>0</v>
      </c>
      <c r="AA64" s="367">
        <v>0</v>
      </c>
      <c r="AB64" s="366">
        <v>1289333.77</v>
      </c>
      <c r="AC64" s="367">
        <v>746425.71</v>
      </c>
      <c r="AE64" s="398"/>
    </row>
    <row r="65" spans="1:31" ht="12.75">
      <c r="A65" s="225" t="s">
        <v>126</v>
      </c>
      <c r="B65" s="412">
        <v>56295.49</v>
      </c>
      <c r="C65" s="413">
        <v>6885.01</v>
      </c>
      <c r="D65" s="412">
        <v>56295.48</v>
      </c>
      <c r="E65" s="413">
        <v>5959.61</v>
      </c>
      <c r="F65" s="412">
        <v>56295.49</v>
      </c>
      <c r="G65" s="413">
        <v>6311.26</v>
      </c>
      <c r="H65" s="412">
        <v>56295.48</v>
      </c>
      <c r="I65" s="413">
        <v>5830.05</v>
      </c>
      <c r="J65" s="412">
        <v>56295.49</v>
      </c>
      <c r="K65" s="413">
        <v>5737.51</v>
      </c>
      <c r="L65" s="412">
        <v>56295.48</v>
      </c>
      <c r="M65" s="413">
        <v>5274.81</v>
      </c>
      <c r="N65" s="325">
        <v>337772.91</v>
      </c>
      <c r="O65" s="326">
        <v>35998.25</v>
      </c>
      <c r="P65" s="412">
        <v>56295.49</v>
      </c>
      <c r="Q65" s="413">
        <v>5163.76</v>
      </c>
      <c r="R65" s="412">
        <v>56295.48</v>
      </c>
      <c r="S65" s="413">
        <v>4876.89</v>
      </c>
      <c r="T65" s="412">
        <v>56295.49</v>
      </c>
      <c r="U65" s="413">
        <v>4441.95</v>
      </c>
      <c r="V65" s="412">
        <v>56295.48</v>
      </c>
      <c r="W65" s="413">
        <v>4303.13</v>
      </c>
      <c r="X65" s="329">
        <v>56295.49</v>
      </c>
      <c r="Y65" s="333">
        <v>3886.7</v>
      </c>
      <c r="Z65" s="577"/>
      <c r="AA65" s="578"/>
      <c r="AB65" s="325">
        <v>619250.34</v>
      </c>
      <c r="AC65" s="326">
        <v>58670.68</v>
      </c>
      <c r="AE65" s="398"/>
    </row>
    <row r="66" spans="1:29" ht="12.75">
      <c r="A66" s="226" t="s">
        <v>10</v>
      </c>
      <c r="B66" s="370">
        <v>10654.08</v>
      </c>
      <c r="C66" s="371">
        <v>1303.01</v>
      </c>
      <c r="D66" s="370">
        <v>10654.07</v>
      </c>
      <c r="E66" s="371">
        <v>1127.87</v>
      </c>
      <c r="F66" s="370">
        <v>10654.08</v>
      </c>
      <c r="G66" s="371">
        <v>1194.42</v>
      </c>
      <c r="H66" s="370">
        <v>10654.07</v>
      </c>
      <c r="I66" s="371">
        <v>1103.35</v>
      </c>
      <c r="J66" s="370">
        <v>10654.08</v>
      </c>
      <c r="K66" s="371">
        <v>1085.84</v>
      </c>
      <c r="L66" s="370">
        <v>10654.07</v>
      </c>
      <c r="M66" s="371">
        <v>998.27</v>
      </c>
      <c r="N66" s="331">
        <v>63924.45</v>
      </c>
      <c r="O66" s="332">
        <v>6812.76</v>
      </c>
      <c r="P66" s="370">
        <v>10654.08</v>
      </c>
      <c r="Q66" s="371">
        <v>977.26</v>
      </c>
      <c r="R66" s="370">
        <v>10654.07</v>
      </c>
      <c r="S66" s="371">
        <v>922.96</v>
      </c>
      <c r="T66" s="370">
        <v>10654.08</v>
      </c>
      <c r="U66" s="371">
        <v>840.65</v>
      </c>
      <c r="V66" s="370">
        <v>10654.07</v>
      </c>
      <c r="W66" s="371">
        <v>814.38</v>
      </c>
      <c r="X66" s="329">
        <v>10654.08</v>
      </c>
      <c r="Y66" s="333">
        <v>735.57</v>
      </c>
      <c r="Z66" s="579"/>
      <c r="AA66" s="580"/>
      <c r="AB66" s="331">
        <v>117194.83</v>
      </c>
      <c r="AC66" s="332">
        <v>11103.58</v>
      </c>
    </row>
    <row r="67" spans="1:29" ht="12.75">
      <c r="A67" s="485" t="s">
        <v>22</v>
      </c>
      <c r="B67" s="370">
        <v>50262.6</v>
      </c>
      <c r="C67" s="371">
        <v>63897.7</v>
      </c>
      <c r="D67" s="370">
        <v>50262.6</v>
      </c>
      <c r="E67" s="371">
        <v>59535.66</v>
      </c>
      <c r="F67" s="370">
        <v>50262.6</v>
      </c>
      <c r="G67" s="371">
        <v>63385.44</v>
      </c>
      <c r="H67" s="370">
        <v>50262.6</v>
      </c>
      <c r="I67" s="371">
        <v>61092.87</v>
      </c>
      <c r="J67" s="370">
        <v>50262.6</v>
      </c>
      <c r="K67" s="371">
        <v>62873.17</v>
      </c>
      <c r="L67" s="370">
        <v>50262.6</v>
      </c>
      <c r="M67" s="371">
        <v>60597.13</v>
      </c>
      <c r="N67" s="331">
        <v>301575.6</v>
      </c>
      <c r="O67" s="332">
        <v>371381.97</v>
      </c>
      <c r="P67" s="370">
        <v>50262.6</v>
      </c>
      <c r="Q67" s="371">
        <v>62360.9</v>
      </c>
      <c r="R67" s="370">
        <v>50262.6</v>
      </c>
      <c r="S67" s="371">
        <v>62104.77</v>
      </c>
      <c r="T67" s="370">
        <v>50262.6</v>
      </c>
      <c r="U67" s="371">
        <v>59853.52</v>
      </c>
      <c r="V67" s="370">
        <v>50262.6</v>
      </c>
      <c r="W67" s="371">
        <v>61592.51</v>
      </c>
      <c r="X67" s="329">
        <v>50262.6</v>
      </c>
      <c r="Y67" s="333">
        <v>59357.78</v>
      </c>
      <c r="Z67" s="579"/>
      <c r="AA67" s="580"/>
      <c r="AB67" s="331">
        <v>552888.6</v>
      </c>
      <c r="AC67" s="332">
        <v>676651.45</v>
      </c>
    </row>
    <row r="68" spans="1:29" ht="12.75" customHeight="1" hidden="1">
      <c r="A68" s="485" t="s">
        <v>8</v>
      </c>
      <c r="B68" s="370">
        <v>0</v>
      </c>
      <c r="C68" s="371">
        <v>0</v>
      </c>
      <c r="D68" s="370">
        <v>0</v>
      </c>
      <c r="E68" s="371">
        <v>0</v>
      </c>
      <c r="F68" s="370">
        <v>0</v>
      </c>
      <c r="G68" s="371">
        <v>0</v>
      </c>
      <c r="H68" s="370">
        <v>0</v>
      </c>
      <c r="I68" s="371">
        <v>0</v>
      </c>
      <c r="J68" s="370">
        <v>0</v>
      </c>
      <c r="K68" s="371">
        <v>0</v>
      </c>
      <c r="L68" s="346"/>
      <c r="M68" s="347"/>
      <c r="N68" s="331">
        <v>0</v>
      </c>
      <c r="O68" s="332">
        <v>0</v>
      </c>
      <c r="P68" s="346"/>
      <c r="Q68" s="347"/>
      <c r="R68" s="579"/>
      <c r="S68" s="580"/>
      <c r="T68" s="579"/>
      <c r="U68" s="580"/>
      <c r="V68" s="579"/>
      <c r="W68" s="580"/>
      <c r="X68" s="579"/>
      <c r="Y68" s="580"/>
      <c r="Z68" s="579"/>
      <c r="AA68" s="580"/>
      <c r="AB68" s="331">
        <v>0</v>
      </c>
      <c r="AC68" s="332">
        <v>0</v>
      </c>
    </row>
    <row r="69" spans="1:29" ht="12.75" customHeight="1" hidden="1">
      <c r="A69" s="485" t="s">
        <v>11</v>
      </c>
      <c r="B69" s="370">
        <v>0</v>
      </c>
      <c r="C69" s="371">
        <v>0</v>
      </c>
      <c r="D69" s="370">
        <v>0</v>
      </c>
      <c r="E69" s="371">
        <v>0</v>
      </c>
      <c r="F69" s="370">
        <v>0</v>
      </c>
      <c r="G69" s="371">
        <v>0</v>
      </c>
      <c r="H69" s="370">
        <v>0</v>
      </c>
      <c r="I69" s="371">
        <v>0</v>
      </c>
      <c r="J69" s="370">
        <v>0</v>
      </c>
      <c r="K69" s="371">
        <v>0</v>
      </c>
      <c r="L69" s="346"/>
      <c r="M69" s="347"/>
      <c r="N69" s="331">
        <v>0</v>
      </c>
      <c r="O69" s="332">
        <v>0</v>
      </c>
      <c r="P69" s="346"/>
      <c r="Q69" s="347"/>
      <c r="R69" s="579"/>
      <c r="S69" s="580"/>
      <c r="T69" s="579"/>
      <c r="U69" s="580"/>
      <c r="V69" s="579"/>
      <c r="W69" s="580"/>
      <c r="X69" s="579"/>
      <c r="Y69" s="580"/>
      <c r="Z69" s="579"/>
      <c r="AA69" s="580"/>
      <c r="AB69" s="331">
        <v>0</v>
      </c>
      <c r="AC69" s="332">
        <v>0</v>
      </c>
    </row>
    <row r="70" spans="1:29" ht="12.75">
      <c r="A70" s="626" t="s">
        <v>179</v>
      </c>
      <c r="B70" s="627">
        <v>76349.43</v>
      </c>
      <c r="C70" s="628">
        <v>892126.37</v>
      </c>
      <c r="D70" s="627">
        <v>77022.7</v>
      </c>
      <c r="E70" s="628">
        <v>55639.4</v>
      </c>
      <c r="F70" s="627">
        <v>77703.28</v>
      </c>
      <c r="G70" s="628">
        <v>264508.13506849314</v>
      </c>
      <c r="H70" s="627">
        <v>78391.26</v>
      </c>
      <c r="I70" s="628">
        <v>54270.83</v>
      </c>
      <c r="J70" s="627">
        <v>79086.73</v>
      </c>
      <c r="K70" s="628">
        <v>53575.37</v>
      </c>
      <c r="L70" s="627">
        <v>79789.77</v>
      </c>
      <c r="M70" s="628">
        <v>52872.33</v>
      </c>
      <c r="N70" s="627">
        <v>468343.17</v>
      </c>
      <c r="O70" s="628">
        <v>1372992.4350684932</v>
      </c>
      <c r="P70" s="627">
        <v>1341851.33</v>
      </c>
      <c r="Q70" s="628">
        <v>881161.64</v>
      </c>
      <c r="R70" s="627">
        <v>81218.89</v>
      </c>
      <c r="S70" s="628">
        <v>51443.2</v>
      </c>
      <c r="T70" s="627">
        <v>251228.16</v>
      </c>
      <c r="U70" s="628">
        <v>260841.93</v>
      </c>
      <c r="V70" s="627">
        <v>82679.37</v>
      </c>
      <c r="W70" s="628">
        <v>49982.73</v>
      </c>
      <c r="X70" s="627">
        <v>83421.58</v>
      </c>
      <c r="Y70" s="628">
        <v>49240.52</v>
      </c>
      <c r="Z70" s="627">
        <v>0</v>
      </c>
      <c r="AA70" s="628">
        <v>0</v>
      </c>
      <c r="AB70" s="627">
        <v>2308742.5</v>
      </c>
      <c r="AC70" s="628">
        <v>2665662.4550684937</v>
      </c>
    </row>
    <row r="71" spans="1:29" ht="12.75">
      <c r="A71" s="432" t="s">
        <v>203</v>
      </c>
      <c r="B71" s="352">
        <v>0</v>
      </c>
      <c r="C71" s="353">
        <v>835813.7</v>
      </c>
      <c r="D71" s="352">
        <v>0</v>
      </c>
      <c r="E71" s="353">
        <v>0</v>
      </c>
      <c r="F71" s="352">
        <v>0</v>
      </c>
      <c r="G71" s="353">
        <v>0</v>
      </c>
      <c r="H71" s="352">
        <v>0</v>
      </c>
      <c r="I71" s="353">
        <v>0</v>
      </c>
      <c r="J71" s="352">
        <v>0</v>
      </c>
      <c r="K71" s="353">
        <v>0</v>
      </c>
      <c r="L71" s="352">
        <v>0</v>
      </c>
      <c r="M71" s="353">
        <v>0</v>
      </c>
      <c r="N71" s="325">
        <v>0</v>
      </c>
      <c r="O71" s="326">
        <v>835813.7</v>
      </c>
      <c r="P71" s="352">
        <v>1261350.88</v>
      </c>
      <c r="Q71" s="353">
        <v>829000</v>
      </c>
      <c r="R71" s="352">
        <v>0</v>
      </c>
      <c r="S71" s="353">
        <v>0</v>
      </c>
      <c r="T71" s="352">
        <v>0</v>
      </c>
      <c r="U71" s="353">
        <v>0</v>
      </c>
      <c r="V71" s="352">
        <v>0</v>
      </c>
      <c r="W71" s="353">
        <v>0</v>
      </c>
      <c r="X71" s="329">
        <v>0</v>
      </c>
      <c r="Y71" s="333">
        <v>0</v>
      </c>
      <c r="Z71" s="577"/>
      <c r="AA71" s="578"/>
      <c r="AB71" s="325">
        <v>1261350.88</v>
      </c>
      <c r="AC71" s="326">
        <v>1664813.7</v>
      </c>
    </row>
    <row r="72" spans="1:29" ht="12.75">
      <c r="A72" s="388" t="s">
        <v>205</v>
      </c>
      <c r="B72" s="352">
        <v>31810.74</v>
      </c>
      <c r="C72" s="353">
        <v>25031.48</v>
      </c>
      <c r="D72" s="352">
        <v>32223.74</v>
      </c>
      <c r="E72" s="353">
        <v>24618.48</v>
      </c>
      <c r="F72" s="352">
        <v>32642.1</v>
      </c>
      <c r="G72" s="353">
        <v>24200.12</v>
      </c>
      <c r="H72" s="352">
        <v>33065.89</v>
      </c>
      <c r="I72" s="353">
        <v>23776.32</v>
      </c>
      <c r="J72" s="352">
        <v>33495.19</v>
      </c>
      <c r="K72" s="353">
        <v>23347.03</v>
      </c>
      <c r="L72" s="352">
        <v>33930.06</v>
      </c>
      <c r="M72" s="353">
        <v>22912.16</v>
      </c>
      <c r="N72" s="331">
        <v>197167.72</v>
      </c>
      <c r="O72" s="332">
        <v>143885.59</v>
      </c>
      <c r="P72" s="352">
        <v>34370.57</v>
      </c>
      <c r="Q72" s="353">
        <v>22471.65</v>
      </c>
      <c r="R72" s="352">
        <v>34816.8</v>
      </c>
      <c r="S72" s="353">
        <v>22025.41</v>
      </c>
      <c r="T72" s="352">
        <v>35268.83</v>
      </c>
      <c r="U72" s="353">
        <v>21573.39</v>
      </c>
      <c r="V72" s="352">
        <v>35726.73</v>
      </c>
      <c r="W72" s="353">
        <v>21115.49</v>
      </c>
      <c r="X72" s="329">
        <v>36190.57</v>
      </c>
      <c r="Y72" s="333">
        <v>20651.65</v>
      </c>
      <c r="Z72" s="579"/>
      <c r="AA72" s="580"/>
      <c r="AB72" s="331">
        <v>373541.22</v>
      </c>
      <c r="AC72" s="332">
        <v>251723.18</v>
      </c>
    </row>
    <row r="73" spans="1:29" ht="12.75">
      <c r="A73" s="388" t="s">
        <v>202</v>
      </c>
      <c r="B73" s="352">
        <v>34702.69</v>
      </c>
      <c r="C73" s="353">
        <v>31281.19</v>
      </c>
      <c r="D73" s="352">
        <v>34962.96</v>
      </c>
      <c r="E73" s="353">
        <v>31020.92</v>
      </c>
      <c r="F73" s="352">
        <v>35225.18</v>
      </c>
      <c r="G73" s="353">
        <v>30758.7</v>
      </c>
      <c r="H73" s="352">
        <v>35489.37</v>
      </c>
      <c r="I73" s="353">
        <v>30494.51</v>
      </c>
      <c r="J73" s="352">
        <v>35755.54</v>
      </c>
      <c r="K73" s="353">
        <v>30228.34</v>
      </c>
      <c r="L73" s="352">
        <v>36023.71</v>
      </c>
      <c r="M73" s="353">
        <v>29960.17</v>
      </c>
      <c r="N73" s="331">
        <v>212159.45</v>
      </c>
      <c r="O73" s="332">
        <v>183743.83</v>
      </c>
      <c r="P73" s="352">
        <v>36293.88</v>
      </c>
      <c r="Q73" s="353">
        <v>29689.99</v>
      </c>
      <c r="R73" s="352">
        <v>36566.09</v>
      </c>
      <c r="S73" s="353">
        <v>29417.79</v>
      </c>
      <c r="T73" s="352">
        <v>36840.33</v>
      </c>
      <c r="U73" s="353">
        <v>29143.54</v>
      </c>
      <c r="V73" s="352">
        <v>37116.64</v>
      </c>
      <c r="W73" s="353">
        <v>28867.24</v>
      </c>
      <c r="X73" s="329">
        <v>37395.01</v>
      </c>
      <c r="Y73" s="333">
        <v>28588.87</v>
      </c>
      <c r="Z73" s="579"/>
      <c r="AA73" s="580"/>
      <c r="AB73" s="331">
        <v>396371.4</v>
      </c>
      <c r="AC73" s="332">
        <v>329451.26</v>
      </c>
    </row>
    <row r="74" spans="1:29" ht="12.75">
      <c r="A74" s="388" t="s">
        <v>212</v>
      </c>
      <c r="B74" s="352">
        <v>0</v>
      </c>
      <c r="C74" s="353">
        <v>0</v>
      </c>
      <c r="D74" s="352">
        <v>0</v>
      </c>
      <c r="E74" s="353">
        <v>0</v>
      </c>
      <c r="F74" s="352">
        <v>0</v>
      </c>
      <c r="G74" s="353">
        <v>209549.31506849316</v>
      </c>
      <c r="H74" s="352">
        <v>0</v>
      </c>
      <c r="I74" s="353">
        <v>0</v>
      </c>
      <c r="J74" s="352">
        <v>0</v>
      </c>
      <c r="K74" s="353">
        <v>0</v>
      </c>
      <c r="L74" s="352">
        <v>0</v>
      </c>
      <c r="M74" s="353">
        <v>0</v>
      </c>
      <c r="N74" s="331">
        <v>0</v>
      </c>
      <c r="O74" s="332">
        <v>209549.31506849316</v>
      </c>
      <c r="P74" s="352">
        <v>0</v>
      </c>
      <c r="Q74" s="353">
        <v>0</v>
      </c>
      <c r="R74" s="352">
        <v>0</v>
      </c>
      <c r="S74" s="353">
        <v>0</v>
      </c>
      <c r="T74" s="352">
        <v>169283</v>
      </c>
      <c r="U74" s="353">
        <v>210125</v>
      </c>
      <c r="V74" s="352">
        <v>0</v>
      </c>
      <c r="W74" s="353">
        <v>0</v>
      </c>
      <c r="X74" s="329">
        <v>0</v>
      </c>
      <c r="Y74" s="333">
        <v>0</v>
      </c>
      <c r="Z74" s="579"/>
      <c r="AA74" s="580"/>
      <c r="AB74" s="331">
        <v>169283</v>
      </c>
      <c r="AC74" s="332">
        <v>419674.31506849313</v>
      </c>
    </row>
    <row r="75" spans="1:29" ht="13.5" thickBot="1">
      <c r="A75" s="433" t="s">
        <v>201</v>
      </c>
      <c r="B75" s="352">
        <v>9836</v>
      </c>
      <c r="C75" s="353">
        <v>0</v>
      </c>
      <c r="D75" s="352">
        <v>9836</v>
      </c>
      <c r="E75" s="353">
        <v>0</v>
      </c>
      <c r="F75" s="352">
        <v>9836</v>
      </c>
      <c r="G75" s="353">
        <v>0</v>
      </c>
      <c r="H75" s="352">
        <v>9836</v>
      </c>
      <c r="I75" s="353">
        <v>0</v>
      </c>
      <c r="J75" s="352">
        <v>9836</v>
      </c>
      <c r="K75" s="353">
        <v>0</v>
      </c>
      <c r="L75" s="352">
        <v>9836</v>
      </c>
      <c r="M75" s="353">
        <v>0</v>
      </c>
      <c r="N75" s="428">
        <v>59016</v>
      </c>
      <c r="O75" s="429">
        <v>0</v>
      </c>
      <c r="P75" s="352">
        <v>9836</v>
      </c>
      <c r="Q75" s="353">
        <v>0</v>
      </c>
      <c r="R75" s="352">
        <v>9836</v>
      </c>
      <c r="S75" s="353">
        <v>0</v>
      </c>
      <c r="T75" s="352">
        <v>9836</v>
      </c>
      <c r="U75" s="353">
        <v>0</v>
      </c>
      <c r="V75" s="352">
        <v>9836</v>
      </c>
      <c r="W75" s="353">
        <v>0</v>
      </c>
      <c r="X75" s="329">
        <v>9836</v>
      </c>
      <c r="Y75" s="333">
        <v>0</v>
      </c>
      <c r="Z75" s="587"/>
      <c r="AA75" s="588"/>
      <c r="AB75" s="428">
        <v>108196</v>
      </c>
      <c r="AC75" s="429">
        <v>0</v>
      </c>
    </row>
    <row r="76" spans="1:29" ht="13.5" thickBot="1">
      <c r="A76" s="154" t="s">
        <v>121</v>
      </c>
      <c r="B76" s="374">
        <v>2093585.69</v>
      </c>
      <c r="C76" s="375">
        <v>1790000.4353424655</v>
      </c>
      <c r="D76" s="374">
        <v>2114620.96</v>
      </c>
      <c r="E76" s="375">
        <v>927262.5753424658</v>
      </c>
      <c r="F76" s="374">
        <v>2135956.7</v>
      </c>
      <c r="G76" s="375">
        <v>1239289.744109589</v>
      </c>
      <c r="H76" s="374">
        <v>2529084.27</v>
      </c>
      <c r="I76" s="375">
        <v>1046551.7353424657</v>
      </c>
      <c r="J76" s="374">
        <v>2179437.29</v>
      </c>
      <c r="K76" s="375">
        <v>984634.2190410959</v>
      </c>
      <c r="L76" s="374">
        <v>2350717.7</v>
      </c>
      <c r="M76" s="375">
        <v>962053.82</v>
      </c>
      <c r="N76" s="374">
        <v>13403402.61</v>
      </c>
      <c r="O76" s="375">
        <v>6949792.529178082</v>
      </c>
      <c r="P76" s="374">
        <v>3636218.06</v>
      </c>
      <c r="Q76" s="375">
        <v>1769974.32</v>
      </c>
      <c r="R76" s="374">
        <v>2777963.14</v>
      </c>
      <c r="S76" s="375">
        <v>948365.89</v>
      </c>
      <c r="T76" s="374">
        <v>2690456.57</v>
      </c>
      <c r="U76" s="375">
        <v>1099727.21</v>
      </c>
      <c r="V76" s="374">
        <v>2547729.97</v>
      </c>
      <c r="W76" s="375">
        <v>866227.21</v>
      </c>
      <c r="X76" s="374">
        <v>2574479.33</v>
      </c>
      <c r="Y76" s="375">
        <v>837051.27</v>
      </c>
      <c r="Z76" s="374">
        <v>0</v>
      </c>
      <c r="AA76" s="375">
        <v>0</v>
      </c>
      <c r="AB76" s="374">
        <v>27630249.68</v>
      </c>
      <c r="AC76" s="375">
        <v>12471138.429178081</v>
      </c>
    </row>
    <row r="77" spans="2:29" ht="12.75" thickBot="1"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</row>
    <row r="78" spans="1:29" ht="13.5" thickBot="1">
      <c r="A78" s="154" t="s">
        <v>121</v>
      </c>
      <c r="B78" s="374">
        <v>2670548.83</v>
      </c>
      <c r="C78" s="375">
        <v>1907606.0953424654</v>
      </c>
      <c r="D78" s="374">
        <v>2695721.34</v>
      </c>
      <c r="E78" s="375">
        <v>1037146.3053424658</v>
      </c>
      <c r="F78" s="374">
        <v>2718525.3</v>
      </c>
      <c r="G78" s="375">
        <v>1356058.814109589</v>
      </c>
      <c r="H78" s="374">
        <v>3117124.76</v>
      </c>
      <c r="I78" s="375">
        <v>1159648.8753424657</v>
      </c>
      <c r="J78" s="374">
        <v>2774551.49</v>
      </c>
      <c r="K78" s="375">
        <v>1101896.199041096</v>
      </c>
      <c r="L78" s="374">
        <v>3846427.068690193</v>
      </c>
      <c r="M78" s="375">
        <v>1109730.73</v>
      </c>
      <c r="N78" s="374">
        <v>17822898.788690194</v>
      </c>
      <c r="O78" s="375">
        <v>7672087.019178082</v>
      </c>
      <c r="P78" s="374">
        <v>4245345.92</v>
      </c>
      <c r="Q78" s="375">
        <v>1887928.16</v>
      </c>
      <c r="R78" s="374">
        <v>3394030.98</v>
      </c>
      <c r="S78" s="375">
        <v>1066617.2</v>
      </c>
      <c r="T78" s="374">
        <v>3316400.85</v>
      </c>
      <c r="U78" s="375">
        <v>1214969.56</v>
      </c>
      <c r="V78" s="374">
        <v>3180080.37</v>
      </c>
      <c r="W78" s="375">
        <v>985455.62</v>
      </c>
      <c r="X78" s="374">
        <v>3216439.25</v>
      </c>
      <c r="Y78" s="375">
        <v>953131.66</v>
      </c>
      <c r="Z78" s="374">
        <v>0</v>
      </c>
      <c r="AA78" s="375">
        <v>0</v>
      </c>
      <c r="AB78" s="374">
        <v>35175196.15869019</v>
      </c>
      <c r="AC78" s="375">
        <v>13780189.21917808</v>
      </c>
    </row>
    <row r="79" spans="1:29" ht="13.5" customHeight="1" thickBot="1">
      <c r="A79" s="154" t="s">
        <v>174</v>
      </c>
      <c r="B79" s="758">
        <v>4578154.925342466</v>
      </c>
      <c r="C79" s="741"/>
      <c r="D79" s="758">
        <v>3732867.6453424655</v>
      </c>
      <c r="E79" s="741"/>
      <c r="F79" s="758">
        <v>4074584.114109589</v>
      </c>
      <c r="G79" s="741"/>
      <c r="H79" s="758">
        <v>4276773.635342466</v>
      </c>
      <c r="I79" s="741"/>
      <c r="J79" s="758">
        <v>3876447.6890410963</v>
      </c>
      <c r="K79" s="741"/>
      <c r="L79" s="758">
        <v>4956157.798690192</v>
      </c>
      <c r="M79" s="741"/>
      <c r="N79" s="758">
        <v>25494985.807868276</v>
      </c>
      <c r="O79" s="741"/>
      <c r="P79" s="758">
        <v>6133274.08</v>
      </c>
      <c r="Q79" s="741"/>
      <c r="R79" s="758">
        <v>4460648.18</v>
      </c>
      <c r="S79" s="741"/>
      <c r="T79" s="758">
        <v>4531370.41</v>
      </c>
      <c r="U79" s="741"/>
      <c r="V79" s="758">
        <v>4165535.99</v>
      </c>
      <c r="W79" s="741"/>
      <c r="X79" s="758">
        <v>4169570.91</v>
      </c>
      <c r="Y79" s="741"/>
      <c r="Z79" s="758">
        <v>0</v>
      </c>
      <c r="AA79" s="741"/>
      <c r="AB79" s="758">
        <v>48955385.37786827</v>
      </c>
      <c r="AC79" s="741"/>
    </row>
    <row r="81" spans="10:16" ht="12">
      <c r="J81" s="41"/>
      <c r="K81" s="41"/>
      <c r="P81" s="562"/>
    </row>
    <row r="82" ht="12">
      <c r="P82" s="563"/>
    </row>
  </sheetData>
  <mergeCells count="29">
    <mergeCell ref="AB7:AC7"/>
    <mergeCell ref="B79:C79"/>
    <mergeCell ref="D79:E79"/>
    <mergeCell ref="F79:G79"/>
    <mergeCell ref="H79:I79"/>
    <mergeCell ref="J79:K79"/>
    <mergeCell ref="L79:M79"/>
    <mergeCell ref="P79:Q79"/>
    <mergeCell ref="AB79:AC79"/>
    <mergeCell ref="Z7:AA7"/>
    <mergeCell ref="N79:O79"/>
    <mergeCell ref="R7:S7"/>
    <mergeCell ref="T7:U7"/>
    <mergeCell ref="V7:W7"/>
    <mergeCell ref="N7:O7"/>
    <mergeCell ref="X7:Y7"/>
    <mergeCell ref="R79:S79"/>
    <mergeCell ref="T79:U79"/>
    <mergeCell ref="V79:W79"/>
    <mergeCell ref="Z79:AA79"/>
    <mergeCell ref="X79:Y79"/>
    <mergeCell ref="A7:A9"/>
    <mergeCell ref="B7:C7"/>
    <mergeCell ref="D7:E7"/>
    <mergeCell ref="F7:G7"/>
    <mergeCell ref="H7:I7"/>
    <mergeCell ref="J7:K7"/>
    <mergeCell ref="L7:M7"/>
    <mergeCell ref="P7:Q7"/>
  </mergeCells>
  <printOptions horizontalCentered="1"/>
  <pageMargins left="0" right="0" top="0" bottom="0" header="0" footer="0"/>
  <pageSetup firstPageNumber="7" useFirstPageNumber="1" horizontalDpi="600" verticalDpi="600" orientation="portrait" paperSize="9" scale="75" r:id="rId2"/>
  <headerFooter alignWithMargins="0">
    <oddFooter>&amp;CPágina N°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K86"/>
  <sheetViews>
    <sheetView showGridLines="0" showZeros="0" zoomScalePageLayoutView="0" workbookViewId="0" topLeftCell="A1">
      <selection activeCell="M25" sqref="M25"/>
    </sheetView>
  </sheetViews>
  <sheetFormatPr defaultColWidth="11.421875" defaultRowHeight="12.75"/>
  <cols>
    <col min="1" max="1" width="21.7109375" style="1" customWidth="1"/>
    <col min="2" max="2" width="8.140625" style="1" customWidth="1"/>
    <col min="3" max="4" width="8.00390625" style="1" customWidth="1"/>
    <col min="5" max="5" width="8.140625" style="1" customWidth="1"/>
    <col min="6" max="7" width="8.00390625" style="1" customWidth="1"/>
    <col min="8" max="8" width="9.00390625" style="1" customWidth="1"/>
    <col min="9" max="9" width="8.28125" style="1" customWidth="1"/>
    <col min="10" max="10" width="8.8515625" style="1" customWidth="1"/>
    <col min="11" max="11" width="8.140625" style="1" customWidth="1"/>
    <col min="12" max="12" width="8.8515625" style="1" customWidth="1"/>
    <col min="13" max="13" width="9.00390625" style="1" customWidth="1"/>
    <col min="14" max="15" width="8.8515625" style="1" customWidth="1"/>
    <col min="16" max="16" width="8.7109375" style="1" hidden="1" customWidth="1"/>
    <col min="17" max="17" width="7.421875" style="1" hidden="1" customWidth="1"/>
    <col min="18" max="18" width="8.8515625" style="1" hidden="1" customWidth="1"/>
    <col min="19" max="19" width="7.421875" style="1" hidden="1" customWidth="1"/>
    <col min="20" max="20" width="9.00390625" style="1" hidden="1" customWidth="1"/>
    <col min="21" max="21" width="8.00390625" style="1" hidden="1" customWidth="1"/>
    <col min="22" max="22" width="8.57421875" style="1" hidden="1" customWidth="1"/>
    <col min="23" max="23" width="6.7109375" style="1" hidden="1" customWidth="1"/>
    <col min="24" max="24" width="9.00390625" style="1" hidden="1" customWidth="1"/>
    <col min="25" max="25" width="6.7109375" style="1" hidden="1" customWidth="1"/>
    <col min="26" max="26" width="9.00390625" style="1" hidden="1" customWidth="1"/>
    <col min="27" max="27" width="6.7109375" style="1" hidden="1" customWidth="1"/>
    <col min="28" max="28" width="9.00390625" style="1" hidden="1" customWidth="1"/>
    <col min="29" max="29" width="6.7109375" style="1" hidden="1" customWidth="1"/>
    <col min="30" max="30" width="9.00390625" style="1" hidden="1" customWidth="1"/>
    <col min="31" max="31" width="6.7109375" style="1" hidden="1" customWidth="1"/>
    <col min="32" max="32" width="8.00390625" style="1" hidden="1" customWidth="1"/>
    <col min="33" max="33" width="7.140625" style="1" hidden="1" customWidth="1"/>
    <col min="34" max="34" width="9.7109375" style="1" customWidth="1"/>
    <col min="35" max="35" width="8.8515625" style="1" customWidth="1"/>
    <col min="36" max="36" width="12.28125" style="1" bestFit="1" customWidth="1"/>
    <col min="37" max="37" width="9.7109375" style="1" bestFit="1" customWidth="1"/>
    <col min="38" max="16384" width="11.421875" style="1" customWidth="1"/>
  </cols>
  <sheetData>
    <row r="1" spans="1:36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9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9"/>
      <c r="AI1" s="46" t="s">
        <v>88</v>
      </c>
      <c r="AJ1" s="1"/>
    </row>
    <row r="2" spans="9:36" ht="18" customHeight="1">
      <c r="I2" s="24" t="s">
        <v>277</v>
      </c>
      <c r="U2" s="24"/>
      <c r="AJ2" s="1"/>
    </row>
    <row r="3" spans="7:36" ht="18" customHeight="1">
      <c r="G3" s="24"/>
      <c r="U3" s="24"/>
      <c r="AJ3" s="1"/>
    </row>
    <row r="4" spans="1:36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9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9"/>
      <c r="AI4" s="46" t="s">
        <v>85</v>
      </c>
      <c r="AJ4" s="1"/>
    </row>
    <row r="5" spans="3:36" ht="13.5" thickBot="1">
      <c r="C5" s="1"/>
      <c r="E5" s="234" t="s">
        <v>325</v>
      </c>
      <c r="F5" s="17"/>
      <c r="U5" s="18"/>
      <c r="V5" s="17"/>
      <c r="AJ5" s="1"/>
    </row>
    <row r="6" spans="2:15" ht="13.5" customHeight="1" thickBot="1">
      <c r="B6" s="761" t="s">
        <v>270</v>
      </c>
      <c r="C6" s="762"/>
      <c r="D6" s="762"/>
      <c r="E6" s="762"/>
      <c r="F6" s="762"/>
      <c r="G6" s="762"/>
      <c r="H6" s="762"/>
      <c r="I6" s="762"/>
      <c r="J6" s="762"/>
      <c r="K6" s="762"/>
      <c r="L6" s="762"/>
      <c r="M6" s="763"/>
      <c r="N6" s="761" t="s">
        <v>271</v>
      </c>
      <c r="O6" s="763"/>
    </row>
    <row r="7" spans="1:35" s="55" customFormat="1" ht="13.5" thickBot="1">
      <c r="A7" s="740" t="s">
        <v>97</v>
      </c>
      <c r="B7" s="756">
        <v>2006</v>
      </c>
      <c r="C7" s="757"/>
      <c r="D7" s="756">
        <v>2007</v>
      </c>
      <c r="E7" s="757"/>
      <c r="F7" s="756">
        <v>2008</v>
      </c>
      <c r="G7" s="757"/>
      <c r="H7" s="756">
        <v>2009</v>
      </c>
      <c r="I7" s="757"/>
      <c r="J7" s="756">
        <v>2010</v>
      </c>
      <c r="K7" s="757"/>
      <c r="L7" s="756">
        <v>2011</v>
      </c>
      <c r="M7" s="757"/>
      <c r="N7" s="756">
        <v>2012</v>
      </c>
      <c r="O7" s="757"/>
      <c r="P7" s="756">
        <v>2013</v>
      </c>
      <c r="Q7" s="757"/>
      <c r="R7" s="756">
        <v>2014</v>
      </c>
      <c r="S7" s="757"/>
      <c r="T7" s="756">
        <v>2015</v>
      </c>
      <c r="U7" s="757"/>
      <c r="V7" s="756">
        <v>2016</v>
      </c>
      <c r="W7" s="757"/>
      <c r="X7" s="756">
        <v>2017</v>
      </c>
      <c r="Y7" s="757"/>
      <c r="Z7" s="756">
        <v>2018</v>
      </c>
      <c r="AA7" s="757"/>
      <c r="AB7" s="756">
        <v>2019</v>
      </c>
      <c r="AC7" s="757"/>
      <c r="AD7" s="756">
        <v>2020</v>
      </c>
      <c r="AE7" s="757"/>
      <c r="AF7" s="756">
        <v>2021</v>
      </c>
      <c r="AG7" s="757"/>
      <c r="AH7" s="756" t="s">
        <v>269</v>
      </c>
      <c r="AI7" s="757"/>
    </row>
    <row r="8" spans="1:35" s="55" customFormat="1" ht="12.75">
      <c r="A8" s="759"/>
      <c r="B8" s="64" t="s">
        <v>102</v>
      </c>
      <c r="C8" s="63" t="s">
        <v>78</v>
      </c>
      <c r="D8" s="64" t="s">
        <v>102</v>
      </c>
      <c r="E8" s="63" t="s">
        <v>78</v>
      </c>
      <c r="F8" s="62" t="s">
        <v>102</v>
      </c>
      <c r="G8" s="61" t="s">
        <v>78</v>
      </c>
      <c r="H8" s="62" t="s">
        <v>102</v>
      </c>
      <c r="I8" s="61" t="s">
        <v>78</v>
      </c>
      <c r="J8" s="62" t="s">
        <v>102</v>
      </c>
      <c r="K8" s="61" t="s">
        <v>78</v>
      </c>
      <c r="L8" s="62" t="s">
        <v>102</v>
      </c>
      <c r="M8" s="61" t="s">
        <v>78</v>
      </c>
      <c r="N8" s="62" t="s">
        <v>102</v>
      </c>
      <c r="O8" s="61" t="s">
        <v>78</v>
      </c>
      <c r="P8" s="62" t="s">
        <v>102</v>
      </c>
      <c r="Q8" s="61" t="s">
        <v>78</v>
      </c>
      <c r="R8" s="62" t="s">
        <v>102</v>
      </c>
      <c r="S8" s="61" t="s">
        <v>78</v>
      </c>
      <c r="T8" s="62" t="s">
        <v>102</v>
      </c>
      <c r="U8" s="61" t="s">
        <v>78</v>
      </c>
      <c r="V8" s="62" t="s">
        <v>102</v>
      </c>
      <c r="W8" s="61" t="s">
        <v>78</v>
      </c>
      <c r="X8" s="62" t="s">
        <v>102</v>
      </c>
      <c r="Y8" s="61" t="s">
        <v>78</v>
      </c>
      <c r="Z8" s="62" t="s">
        <v>102</v>
      </c>
      <c r="AA8" s="61" t="s">
        <v>78</v>
      </c>
      <c r="AB8" s="62" t="s">
        <v>102</v>
      </c>
      <c r="AC8" s="61" t="s">
        <v>78</v>
      </c>
      <c r="AD8" s="62" t="s">
        <v>102</v>
      </c>
      <c r="AE8" s="61" t="s">
        <v>78</v>
      </c>
      <c r="AF8" s="62" t="s">
        <v>102</v>
      </c>
      <c r="AG8" s="61" t="s">
        <v>78</v>
      </c>
      <c r="AH8" s="62" t="s">
        <v>102</v>
      </c>
      <c r="AI8" s="61" t="s">
        <v>78</v>
      </c>
    </row>
    <row r="9" spans="1:35" s="55" customFormat="1" ht="13.5" thickBot="1">
      <c r="A9" s="760"/>
      <c r="B9" s="59" t="s">
        <v>1</v>
      </c>
      <c r="C9" s="58" t="s">
        <v>106</v>
      </c>
      <c r="D9" s="59" t="s">
        <v>1</v>
      </c>
      <c r="E9" s="58" t="s">
        <v>106</v>
      </c>
      <c r="F9" s="57" t="s">
        <v>1</v>
      </c>
      <c r="G9" s="56" t="s">
        <v>106</v>
      </c>
      <c r="H9" s="57" t="s">
        <v>1</v>
      </c>
      <c r="I9" s="56" t="s">
        <v>106</v>
      </c>
      <c r="J9" s="57" t="s">
        <v>1</v>
      </c>
      <c r="K9" s="56" t="s">
        <v>106</v>
      </c>
      <c r="L9" s="57" t="s">
        <v>1</v>
      </c>
      <c r="M9" s="56" t="s">
        <v>106</v>
      </c>
      <c r="N9" s="57" t="s">
        <v>1</v>
      </c>
      <c r="O9" s="56" t="s">
        <v>106</v>
      </c>
      <c r="P9" s="57" t="s">
        <v>1</v>
      </c>
      <c r="Q9" s="56" t="s">
        <v>106</v>
      </c>
      <c r="R9" s="57" t="s">
        <v>1</v>
      </c>
      <c r="S9" s="56" t="s">
        <v>106</v>
      </c>
      <c r="T9" s="57" t="s">
        <v>1</v>
      </c>
      <c r="U9" s="56" t="s">
        <v>106</v>
      </c>
      <c r="V9" s="57" t="s">
        <v>1</v>
      </c>
      <c r="W9" s="56" t="s">
        <v>106</v>
      </c>
      <c r="X9" s="57" t="s">
        <v>1</v>
      </c>
      <c r="Y9" s="56" t="s">
        <v>106</v>
      </c>
      <c r="Z9" s="57" t="s">
        <v>1</v>
      </c>
      <c r="AA9" s="56" t="s">
        <v>106</v>
      </c>
      <c r="AB9" s="57" t="s">
        <v>1</v>
      </c>
      <c r="AC9" s="56" t="s">
        <v>106</v>
      </c>
      <c r="AD9" s="57" t="s">
        <v>1</v>
      </c>
      <c r="AE9" s="56" t="s">
        <v>106</v>
      </c>
      <c r="AF9" s="57" t="s">
        <v>1</v>
      </c>
      <c r="AG9" s="56" t="s">
        <v>106</v>
      </c>
      <c r="AH9" s="57" t="s">
        <v>1</v>
      </c>
      <c r="AI9" s="56" t="s">
        <v>106</v>
      </c>
    </row>
    <row r="10" ht="12.75">
      <c r="AJ10" s="55"/>
    </row>
    <row r="11" spans="1:36" s="42" customFormat="1" ht="24" customHeight="1" thickBot="1">
      <c r="A11" s="223"/>
      <c r="B11" s="44"/>
      <c r="C11" s="44"/>
      <c r="D11" s="44"/>
      <c r="E11" s="44"/>
      <c r="F11" s="44"/>
      <c r="G11" s="232" t="s">
        <v>133</v>
      </c>
      <c r="H11" s="44"/>
      <c r="I11" s="9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52"/>
      <c r="AJ11" s="55"/>
    </row>
    <row r="12" spans="1:36" ht="12.75">
      <c r="A12" s="224" t="s">
        <v>122</v>
      </c>
      <c r="B12" s="377">
        <v>248378.94</v>
      </c>
      <c r="C12" s="378">
        <v>949200.99</v>
      </c>
      <c r="D12" s="377">
        <v>0</v>
      </c>
      <c r="E12" s="378">
        <v>962067.1</v>
      </c>
      <c r="F12" s="377">
        <v>3481690.86</v>
      </c>
      <c r="G12" s="378">
        <v>1357562.61</v>
      </c>
      <c r="H12" s="377">
        <v>5976232.140000001</v>
      </c>
      <c r="I12" s="378">
        <v>1498286.15</v>
      </c>
      <c r="J12" s="377">
        <v>6260163.5</v>
      </c>
      <c r="K12" s="378">
        <v>1446639.11</v>
      </c>
      <c r="L12" s="377">
        <v>6619660.200000001</v>
      </c>
      <c r="M12" s="378">
        <v>1394709.82</v>
      </c>
      <c r="N12" s="377">
        <v>6650223.5600000005</v>
      </c>
      <c r="O12" s="378">
        <v>1274985.07</v>
      </c>
      <c r="P12" s="377">
        <v>0</v>
      </c>
      <c r="Q12" s="378">
        <v>0</v>
      </c>
      <c r="R12" s="377">
        <v>0</v>
      </c>
      <c r="S12" s="378">
        <v>0</v>
      </c>
      <c r="T12" s="377">
        <v>0</v>
      </c>
      <c r="U12" s="378">
        <v>0</v>
      </c>
      <c r="V12" s="377">
        <v>0</v>
      </c>
      <c r="W12" s="378">
        <v>0</v>
      </c>
      <c r="X12" s="377">
        <v>0</v>
      </c>
      <c r="Y12" s="378">
        <v>0</v>
      </c>
      <c r="Z12" s="377">
        <v>0</v>
      </c>
      <c r="AA12" s="378">
        <v>0</v>
      </c>
      <c r="AB12" s="377">
        <v>0</v>
      </c>
      <c r="AC12" s="378">
        <v>0</v>
      </c>
      <c r="AD12" s="377">
        <v>0</v>
      </c>
      <c r="AE12" s="378">
        <v>0</v>
      </c>
      <c r="AF12" s="377">
        <v>0</v>
      </c>
      <c r="AG12" s="378">
        <v>0</v>
      </c>
      <c r="AH12" s="377">
        <v>29236349.200000003</v>
      </c>
      <c r="AI12" s="378">
        <v>8883450.85</v>
      </c>
      <c r="AJ12" s="55"/>
    </row>
    <row r="13" spans="1:37" ht="12.75">
      <c r="A13" s="225" t="s">
        <v>1</v>
      </c>
      <c r="B13" s="322">
        <v>248378.94</v>
      </c>
      <c r="C13" s="323">
        <v>153123.06</v>
      </c>
      <c r="D13" s="322">
        <v>0</v>
      </c>
      <c r="E13" s="323">
        <v>150929.05</v>
      </c>
      <c r="F13" s="322">
        <v>546306.44</v>
      </c>
      <c r="G13" s="324">
        <v>148300.77</v>
      </c>
      <c r="H13" s="322">
        <v>644819.1</v>
      </c>
      <c r="I13" s="324">
        <v>161660.97</v>
      </c>
      <c r="J13" s="322">
        <v>676485.46</v>
      </c>
      <c r="K13" s="324">
        <v>156088.44</v>
      </c>
      <c r="L13" s="322">
        <v>714243.19</v>
      </c>
      <c r="M13" s="324">
        <v>150485.39</v>
      </c>
      <c r="N13" s="386">
        <v>717540.92</v>
      </c>
      <c r="O13" s="387">
        <v>137567.39</v>
      </c>
      <c r="P13" s="322"/>
      <c r="Q13" s="324"/>
      <c r="R13" s="322"/>
      <c r="S13" s="324"/>
      <c r="T13" s="322"/>
      <c r="U13" s="324"/>
      <c r="V13" s="322"/>
      <c r="W13" s="324"/>
      <c r="X13" s="322"/>
      <c r="Y13" s="324"/>
      <c r="Z13" s="322"/>
      <c r="AA13" s="324"/>
      <c r="AB13" s="322"/>
      <c r="AC13" s="324"/>
      <c r="AD13" s="322"/>
      <c r="AE13" s="324"/>
      <c r="AF13" s="322"/>
      <c r="AG13" s="324"/>
      <c r="AH13" s="325">
        <v>3547774.05</v>
      </c>
      <c r="AI13" s="326">
        <v>1058155.07</v>
      </c>
      <c r="AJ13" s="55"/>
      <c r="AK13" s="13"/>
    </row>
    <row r="14" spans="1:36" ht="12.75">
      <c r="A14" s="226" t="s">
        <v>21</v>
      </c>
      <c r="B14" s="327"/>
      <c r="C14" s="328"/>
      <c r="D14" s="327"/>
      <c r="E14" s="328"/>
      <c r="F14" s="329">
        <v>0</v>
      </c>
      <c r="G14" s="330">
        <v>86203.35</v>
      </c>
      <c r="H14" s="329">
        <v>390262.2</v>
      </c>
      <c r="I14" s="330">
        <v>97841.69</v>
      </c>
      <c r="J14" s="329">
        <v>409427.58</v>
      </c>
      <c r="K14" s="330">
        <v>94468.92</v>
      </c>
      <c r="L14" s="329">
        <v>432279.58</v>
      </c>
      <c r="M14" s="330">
        <v>91077.84</v>
      </c>
      <c r="N14" s="329">
        <v>434275.44</v>
      </c>
      <c r="O14" s="330">
        <v>83259.62</v>
      </c>
      <c r="P14" s="329"/>
      <c r="Q14" s="330"/>
      <c r="R14" s="329"/>
      <c r="S14" s="330"/>
      <c r="T14" s="329"/>
      <c r="U14" s="330"/>
      <c r="V14" s="329"/>
      <c r="W14" s="330"/>
      <c r="X14" s="329"/>
      <c r="Y14" s="330"/>
      <c r="Z14" s="329"/>
      <c r="AA14" s="330"/>
      <c r="AB14" s="329"/>
      <c r="AC14" s="330"/>
      <c r="AD14" s="329"/>
      <c r="AE14" s="330"/>
      <c r="AF14" s="329"/>
      <c r="AG14" s="330"/>
      <c r="AH14" s="331">
        <v>1666244.8</v>
      </c>
      <c r="AI14" s="332">
        <v>452851.42</v>
      </c>
      <c r="AJ14" s="55"/>
    </row>
    <row r="15" spans="1:36" ht="12.75">
      <c r="A15" s="226" t="s">
        <v>22</v>
      </c>
      <c r="B15" s="329">
        <v>0</v>
      </c>
      <c r="C15" s="333">
        <v>141068.15</v>
      </c>
      <c r="D15" s="329">
        <v>0</v>
      </c>
      <c r="E15" s="333">
        <v>143759.23</v>
      </c>
      <c r="F15" s="329">
        <v>520172.8</v>
      </c>
      <c r="G15" s="330">
        <v>141206.57</v>
      </c>
      <c r="H15" s="329">
        <v>613973.09</v>
      </c>
      <c r="I15" s="330">
        <v>153927.57</v>
      </c>
      <c r="J15" s="329">
        <v>644124.68</v>
      </c>
      <c r="K15" s="330">
        <v>148621.6</v>
      </c>
      <c r="L15" s="329">
        <v>680076.17</v>
      </c>
      <c r="M15" s="330">
        <v>143286.67</v>
      </c>
      <c r="N15" s="329">
        <v>683215.88</v>
      </c>
      <c r="O15" s="330">
        <v>130986.56</v>
      </c>
      <c r="P15" s="329"/>
      <c r="Q15" s="330"/>
      <c r="R15" s="329"/>
      <c r="S15" s="330"/>
      <c r="T15" s="329"/>
      <c r="U15" s="330"/>
      <c r="V15" s="329"/>
      <c r="W15" s="330"/>
      <c r="X15" s="329"/>
      <c r="Y15" s="330"/>
      <c r="Z15" s="329"/>
      <c r="AA15" s="330"/>
      <c r="AB15" s="329"/>
      <c r="AC15" s="330"/>
      <c r="AD15" s="329"/>
      <c r="AE15" s="330"/>
      <c r="AF15" s="329"/>
      <c r="AG15" s="330"/>
      <c r="AH15" s="331">
        <v>3141562.62</v>
      </c>
      <c r="AI15" s="332">
        <v>1002856.35</v>
      </c>
      <c r="AJ15" s="55"/>
    </row>
    <row r="16" spans="1:36" ht="12.75">
      <c r="A16" s="226" t="s">
        <v>16</v>
      </c>
      <c r="B16" s="329">
        <v>0</v>
      </c>
      <c r="C16" s="333">
        <v>302295.28</v>
      </c>
      <c r="D16" s="329">
        <v>0</v>
      </c>
      <c r="E16" s="333">
        <v>308061.87</v>
      </c>
      <c r="F16" s="329">
        <v>1114679.33</v>
      </c>
      <c r="G16" s="330">
        <v>302591.84</v>
      </c>
      <c r="H16" s="329">
        <v>1315684.08</v>
      </c>
      <c r="I16" s="330">
        <v>329851.84</v>
      </c>
      <c r="J16" s="329">
        <v>1380295.82</v>
      </c>
      <c r="K16" s="330">
        <v>318481.59</v>
      </c>
      <c r="L16" s="329">
        <v>1457336.42</v>
      </c>
      <c r="M16" s="330">
        <v>307049.07</v>
      </c>
      <c r="N16" s="329">
        <v>1464065</v>
      </c>
      <c r="O16" s="330">
        <v>280691.52</v>
      </c>
      <c r="P16" s="329"/>
      <c r="Q16" s="330"/>
      <c r="R16" s="329"/>
      <c r="S16" s="330"/>
      <c r="T16" s="329"/>
      <c r="U16" s="330"/>
      <c r="V16" s="329"/>
      <c r="W16" s="330"/>
      <c r="X16" s="329"/>
      <c r="Y16" s="330"/>
      <c r="Z16" s="329"/>
      <c r="AA16" s="330"/>
      <c r="AB16" s="329"/>
      <c r="AC16" s="330"/>
      <c r="AD16" s="329"/>
      <c r="AE16" s="330"/>
      <c r="AF16" s="329"/>
      <c r="AG16" s="330"/>
      <c r="AH16" s="331">
        <v>6732060.65</v>
      </c>
      <c r="AI16" s="332">
        <v>2149023.01</v>
      </c>
      <c r="AJ16" s="55"/>
    </row>
    <row r="17" spans="1:36" ht="12.75">
      <c r="A17" s="226" t="s">
        <v>15</v>
      </c>
      <c r="B17" s="329">
        <v>0</v>
      </c>
      <c r="C17" s="333">
        <v>29539.54</v>
      </c>
      <c r="D17" s="329">
        <v>0</v>
      </c>
      <c r="E17" s="333">
        <v>30092.65</v>
      </c>
      <c r="F17" s="329">
        <v>108923.57</v>
      </c>
      <c r="G17" s="330">
        <v>29568.55</v>
      </c>
      <c r="H17" s="329">
        <v>128565.27</v>
      </c>
      <c r="I17" s="330">
        <v>32232.27</v>
      </c>
      <c r="J17" s="329">
        <v>134878.94</v>
      </c>
      <c r="K17" s="330">
        <v>31121.17</v>
      </c>
      <c r="L17" s="329">
        <v>142407.14</v>
      </c>
      <c r="M17" s="330">
        <v>30004.13</v>
      </c>
      <c r="N17" s="329">
        <v>143064.67</v>
      </c>
      <c r="O17" s="330">
        <v>27428.45</v>
      </c>
      <c r="P17" s="329"/>
      <c r="Q17" s="330"/>
      <c r="R17" s="329"/>
      <c r="S17" s="330"/>
      <c r="T17" s="329"/>
      <c r="U17" s="330"/>
      <c r="V17" s="329"/>
      <c r="W17" s="330"/>
      <c r="X17" s="329"/>
      <c r="Y17" s="330"/>
      <c r="Z17" s="329"/>
      <c r="AA17" s="330"/>
      <c r="AB17" s="329"/>
      <c r="AC17" s="330"/>
      <c r="AD17" s="329"/>
      <c r="AE17" s="330"/>
      <c r="AF17" s="329"/>
      <c r="AG17" s="330"/>
      <c r="AH17" s="331">
        <v>657839.59</v>
      </c>
      <c r="AI17" s="332">
        <v>209986.76</v>
      </c>
      <c r="AJ17" s="55"/>
    </row>
    <row r="18" spans="1:35" ht="12.75">
      <c r="A18" s="226" t="s">
        <v>14</v>
      </c>
      <c r="B18" s="327"/>
      <c r="C18" s="328"/>
      <c r="D18" s="327"/>
      <c r="E18" s="328"/>
      <c r="F18" s="329">
        <v>0</v>
      </c>
      <c r="G18" s="330">
        <v>18542.24</v>
      </c>
      <c r="H18" s="329">
        <v>83453.64</v>
      </c>
      <c r="I18" s="330">
        <v>20922.5</v>
      </c>
      <c r="J18" s="329">
        <v>87551.95</v>
      </c>
      <c r="K18" s="330">
        <v>20201.36</v>
      </c>
      <c r="L18" s="329">
        <v>92438.66</v>
      </c>
      <c r="M18" s="330">
        <v>19476.09</v>
      </c>
      <c r="N18" s="329">
        <v>92865.7</v>
      </c>
      <c r="O18" s="330">
        <v>17804.21</v>
      </c>
      <c r="P18" s="329"/>
      <c r="Q18" s="330"/>
      <c r="R18" s="329"/>
      <c r="S18" s="330"/>
      <c r="T18" s="329"/>
      <c r="U18" s="330"/>
      <c r="V18" s="329"/>
      <c r="W18" s="330"/>
      <c r="X18" s="329"/>
      <c r="Y18" s="330"/>
      <c r="Z18" s="329"/>
      <c r="AA18" s="330"/>
      <c r="AB18" s="329"/>
      <c r="AC18" s="330"/>
      <c r="AD18" s="329"/>
      <c r="AE18" s="330"/>
      <c r="AF18" s="329"/>
      <c r="AG18" s="330"/>
      <c r="AH18" s="331">
        <v>356309.95</v>
      </c>
      <c r="AI18" s="332">
        <v>96946.4</v>
      </c>
    </row>
    <row r="19" spans="1:35" ht="12.75">
      <c r="A19" s="226" t="s">
        <v>13</v>
      </c>
      <c r="B19" s="329">
        <v>0</v>
      </c>
      <c r="C19" s="333">
        <v>71129.49</v>
      </c>
      <c r="D19" s="329">
        <v>0</v>
      </c>
      <c r="E19" s="333">
        <v>72461.04</v>
      </c>
      <c r="F19" s="329">
        <v>262282.01</v>
      </c>
      <c r="G19" s="330">
        <v>71199.28</v>
      </c>
      <c r="H19" s="329">
        <v>309578</v>
      </c>
      <c r="I19" s="330">
        <v>77613.47</v>
      </c>
      <c r="J19" s="329">
        <v>324780.9</v>
      </c>
      <c r="K19" s="330">
        <v>74938.09</v>
      </c>
      <c r="L19" s="329">
        <v>342908.39</v>
      </c>
      <c r="M19" s="330">
        <v>72248.1</v>
      </c>
      <c r="N19" s="329">
        <v>344491.59</v>
      </c>
      <c r="O19" s="330">
        <v>66046.18</v>
      </c>
      <c r="P19" s="329"/>
      <c r="Q19" s="330"/>
      <c r="R19" s="329"/>
      <c r="S19" s="330"/>
      <c r="T19" s="329"/>
      <c r="U19" s="330"/>
      <c r="V19" s="329"/>
      <c r="W19" s="330"/>
      <c r="X19" s="329"/>
      <c r="Y19" s="330"/>
      <c r="Z19" s="329"/>
      <c r="AA19" s="330"/>
      <c r="AB19" s="329"/>
      <c r="AC19" s="330"/>
      <c r="AD19" s="329"/>
      <c r="AE19" s="330"/>
      <c r="AF19" s="329"/>
      <c r="AG19" s="330"/>
      <c r="AH19" s="331">
        <v>1584040.89</v>
      </c>
      <c r="AI19" s="332">
        <v>505635.65</v>
      </c>
    </row>
    <row r="20" spans="1:35" ht="12.75">
      <c r="A20" s="226" t="s">
        <v>84</v>
      </c>
      <c r="B20" s="329">
        <v>0</v>
      </c>
      <c r="C20" s="333">
        <v>66355.56</v>
      </c>
      <c r="D20" s="329">
        <v>0</v>
      </c>
      <c r="E20" s="333">
        <v>67621.32</v>
      </c>
      <c r="F20" s="329">
        <v>244678.47</v>
      </c>
      <c r="G20" s="330">
        <v>66420.6</v>
      </c>
      <c r="H20" s="329">
        <v>288800.17</v>
      </c>
      <c r="I20" s="330">
        <v>72404.37</v>
      </c>
      <c r="J20" s="329">
        <v>302982.87</v>
      </c>
      <c r="K20" s="330">
        <v>69908.54</v>
      </c>
      <c r="L20" s="329">
        <v>319893.73</v>
      </c>
      <c r="M20" s="330">
        <v>67399</v>
      </c>
      <c r="N20" s="329">
        <v>321370.66</v>
      </c>
      <c r="O20" s="330">
        <v>61613.41</v>
      </c>
      <c r="P20" s="329"/>
      <c r="Q20" s="330"/>
      <c r="R20" s="329"/>
      <c r="S20" s="330"/>
      <c r="T20" s="329"/>
      <c r="U20" s="330"/>
      <c r="V20" s="329"/>
      <c r="W20" s="330"/>
      <c r="X20" s="329"/>
      <c r="Y20" s="330"/>
      <c r="Z20" s="329"/>
      <c r="AA20" s="330"/>
      <c r="AB20" s="329"/>
      <c r="AC20" s="330"/>
      <c r="AD20" s="329"/>
      <c r="AE20" s="330"/>
      <c r="AF20" s="329"/>
      <c r="AG20" s="330"/>
      <c r="AH20" s="331">
        <v>1477725.9</v>
      </c>
      <c r="AI20" s="332">
        <v>471722.8</v>
      </c>
    </row>
    <row r="21" spans="1:35" ht="12.75">
      <c r="A21" s="226" t="s">
        <v>105</v>
      </c>
      <c r="B21" s="329">
        <v>0</v>
      </c>
      <c r="C21" s="333">
        <v>106120.62</v>
      </c>
      <c r="D21" s="329">
        <v>0</v>
      </c>
      <c r="E21" s="333">
        <v>108083.2</v>
      </c>
      <c r="F21" s="329">
        <v>391307.64</v>
      </c>
      <c r="G21" s="330">
        <v>106224.71</v>
      </c>
      <c r="H21" s="329">
        <v>461870.3</v>
      </c>
      <c r="I21" s="330">
        <v>115794.29</v>
      </c>
      <c r="J21" s="329">
        <v>474997.42</v>
      </c>
      <c r="K21" s="330">
        <v>111802.76</v>
      </c>
      <c r="L21" s="329">
        <v>511597.32</v>
      </c>
      <c r="M21" s="330">
        <v>107789.54</v>
      </c>
      <c r="N21" s="329">
        <v>513959.37</v>
      </c>
      <c r="O21" s="330">
        <v>98536.64</v>
      </c>
      <c r="P21" s="329"/>
      <c r="Q21" s="330"/>
      <c r="R21" s="329"/>
      <c r="S21" s="330"/>
      <c r="T21" s="329"/>
      <c r="U21" s="330"/>
      <c r="V21" s="329"/>
      <c r="W21" s="330"/>
      <c r="X21" s="329"/>
      <c r="Y21" s="330"/>
      <c r="Z21" s="329"/>
      <c r="AA21" s="330"/>
      <c r="AB21" s="329"/>
      <c r="AC21" s="330"/>
      <c r="AD21" s="329"/>
      <c r="AE21" s="330"/>
      <c r="AF21" s="329"/>
      <c r="AG21" s="330"/>
      <c r="AH21" s="331">
        <v>2353732.05</v>
      </c>
      <c r="AI21" s="332">
        <v>754351.76</v>
      </c>
    </row>
    <row r="22" spans="1:35" ht="12.75">
      <c r="A22" s="226" t="s">
        <v>4</v>
      </c>
      <c r="B22" s="329">
        <v>0</v>
      </c>
      <c r="C22" s="333">
        <v>79569.29</v>
      </c>
      <c r="D22" s="329">
        <v>0</v>
      </c>
      <c r="E22" s="333">
        <v>81058.74</v>
      </c>
      <c r="F22" s="329">
        <v>293340.6</v>
      </c>
      <c r="G22" s="330">
        <v>79629.99</v>
      </c>
      <c r="H22" s="329">
        <v>346310.35</v>
      </c>
      <c r="I22" s="330">
        <v>86822.69</v>
      </c>
      <c r="J22" s="329">
        <v>363317.29</v>
      </c>
      <c r="K22" s="330">
        <v>83829.83</v>
      </c>
      <c r="L22" s="329">
        <v>383595.9</v>
      </c>
      <c r="M22" s="330">
        <v>80820.6</v>
      </c>
      <c r="N22" s="329">
        <v>385366.99</v>
      </c>
      <c r="O22" s="330">
        <v>73882.74</v>
      </c>
      <c r="P22" s="329"/>
      <c r="Q22" s="330"/>
      <c r="R22" s="329"/>
      <c r="S22" s="330"/>
      <c r="T22" s="329"/>
      <c r="U22" s="330"/>
      <c r="V22" s="329"/>
      <c r="W22" s="330"/>
      <c r="X22" s="329"/>
      <c r="Y22" s="330"/>
      <c r="Z22" s="329"/>
      <c r="AA22" s="330"/>
      <c r="AB22" s="329"/>
      <c r="AC22" s="330"/>
      <c r="AD22" s="329"/>
      <c r="AE22" s="330"/>
      <c r="AF22" s="329"/>
      <c r="AG22" s="330"/>
      <c r="AH22" s="331">
        <v>1771931.13</v>
      </c>
      <c r="AI22" s="332">
        <v>565613.88</v>
      </c>
    </row>
    <row r="23" spans="1:35" ht="12.75">
      <c r="A23" s="226" t="s">
        <v>10</v>
      </c>
      <c r="B23" s="327"/>
      <c r="C23" s="328"/>
      <c r="D23" s="327"/>
      <c r="E23" s="328"/>
      <c r="F23" s="329">
        <v>0</v>
      </c>
      <c r="G23" s="330">
        <v>23302.42</v>
      </c>
      <c r="H23" s="329">
        <v>105495.62</v>
      </c>
      <c r="I23" s="330">
        <v>26448.58</v>
      </c>
      <c r="J23" s="329">
        <v>110676.4</v>
      </c>
      <c r="K23" s="330">
        <v>25536.77</v>
      </c>
      <c r="L23" s="329">
        <v>116853.73</v>
      </c>
      <c r="M23" s="330">
        <v>24620.14</v>
      </c>
      <c r="N23" s="329">
        <v>117393.28</v>
      </c>
      <c r="O23" s="330">
        <v>22506.67</v>
      </c>
      <c r="P23" s="329"/>
      <c r="Q23" s="330"/>
      <c r="R23" s="329"/>
      <c r="S23" s="330"/>
      <c r="T23" s="329"/>
      <c r="U23" s="330"/>
      <c r="V23" s="329"/>
      <c r="W23" s="330"/>
      <c r="X23" s="329"/>
      <c r="Y23" s="330"/>
      <c r="Z23" s="329"/>
      <c r="AA23" s="330"/>
      <c r="AB23" s="329"/>
      <c r="AC23" s="330"/>
      <c r="AD23" s="329"/>
      <c r="AE23" s="330"/>
      <c r="AF23" s="329"/>
      <c r="AG23" s="330"/>
      <c r="AH23" s="331">
        <v>450419.03</v>
      </c>
      <c r="AI23" s="332">
        <v>122414.58</v>
      </c>
    </row>
    <row r="24" spans="1:35" ht="12.75">
      <c r="A24" s="227" t="s">
        <v>95</v>
      </c>
      <c r="B24" s="334"/>
      <c r="C24" s="335"/>
      <c r="D24" s="334"/>
      <c r="E24" s="335"/>
      <c r="F24" s="336">
        <v>0</v>
      </c>
      <c r="G24" s="337">
        <v>284372.29</v>
      </c>
      <c r="H24" s="336">
        <v>1287420.32</v>
      </c>
      <c r="I24" s="337">
        <v>322765.91</v>
      </c>
      <c r="J24" s="336">
        <v>1350644.19</v>
      </c>
      <c r="K24" s="337">
        <v>311640.04</v>
      </c>
      <c r="L24" s="404">
        <v>1426029.97</v>
      </c>
      <c r="M24" s="405">
        <v>300453.25</v>
      </c>
      <c r="N24" s="569">
        <v>1432614.06</v>
      </c>
      <c r="O24" s="570">
        <v>274661.68</v>
      </c>
      <c r="P24" s="404"/>
      <c r="Q24" s="405"/>
      <c r="R24" s="404"/>
      <c r="S24" s="405"/>
      <c r="T24" s="404"/>
      <c r="U24" s="405"/>
      <c r="V24" s="404"/>
      <c r="W24" s="405"/>
      <c r="X24" s="404"/>
      <c r="Y24" s="405"/>
      <c r="Z24" s="404"/>
      <c r="AA24" s="405"/>
      <c r="AB24" s="404"/>
      <c r="AC24" s="405"/>
      <c r="AD24" s="404"/>
      <c r="AE24" s="405"/>
      <c r="AF24" s="404"/>
      <c r="AG24" s="405"/>
      <c r="AH24" s="406">
        <v>5496708.539999999</v>
      </c>
      <c r="AI24" s="407">
        <v>1493893.17</v>
      </c>
    </row>
    <row r="25" spans="1:35" ht="12.75">
      <c r="A25" s="228" t="s">
        <v>123</v>
      </c>
      <c r="B25" s="340">
        <v>0</v>
      </c>
      <c r="C25" s="341">
        <v>0</v>
      </c>
      <c r="D25" s="340">
        <v>0</v>
      </c>
      <c r="E25" s="341">
        <v>0</v>
      </c>
      <c r="F25" s="340">
        <v>0</v>
      </c>
      <c r="G25" s="341">
        <v>0</v>
      </c>
      <c r="H25" s="340">
        <v>0</v>
      </c>
      <c r="I25" s="341">
        <v>0</v>
      </c>
      <c r="J25" s="340">
        <v>6292.38</v>
      </c>
      <c r="K25" s="341">
        <v>118.77</v>
      </c>
      <c r="L25" s="340">
        <v>0</v>
      </c>
      <c r="M25" s="341">
        <v>0</v>
      </c>
      <c r="N25" s="340">
        <v>0</v>
      </c>
      <c r="O25" s="341">
        <v>0</v>
      </c>
      <c r="P25" s="340">
        <v>0</v>
      </c>
      <c r="Q25" s="341">
        <v>0</v>
      </c>
      <c r="R25" s="340">
        <v>0</v>
      </c>
      <c r="S25" s="341">
        <v>0</v>
      </c>
      <c r="T25" s="340">
        <v>0</v>
      </c>
      <c r="U25" s="341">
        <v>0</v>
      </c>
      <c r="V25" s="340">
        <v>0</v>
      </c>
      <c r="W25" s="341">
        <v>0</v>
      </c>
      <c r="X25" s="340">
        <v>0</v>
      </c>
      <c r="Y25" s="341">
        <v>0</v>
      </c>
      <c r="Z25" s="340">
        <v>0</v>
      </c>
      <c r="AA25" s="341">
        <v>0</v>
      </c>
      <c r="AB25" s="340">
        <v>0</v>
      </c>
      <c r="AC25" s="341">
        <v>0</v>
      </c>
      <c r="AD25" s="340">
        <v>0</v>
      </c>
      <c r="AE25" s="341">
        <v>0</v>
      </c>
      <c r="AF25" s="340">
        <v>0</v>
      </c>
      <c r="AG25" s="341">
        <v>0</v>
      </c>
      <c r="AH25" s="340">
        <v>6292.38</v>
      </c>
      <c r="AI25" s="341">
        <v>118.77</v>
      </c>
    </row>
    <row r="26" spans="1:35" ht="12.75">
      <c r="A26" s="225" t="s">
        <v>9</v>
      </c>
      <c r="B26" s="342"/>
      <c r="C26" s="343"/>
      <c r="D26" s="342"/>
      <c r="E26" s="343"/>
      <c r="F26" s="342"/>
      <c r="G26" s="343"/>
      <c r="H26" s="342"/>
      <c r="I26" s="343"/>
      <c r="J26" s="344">
        <v>2097.46</v>
      </c>
      <c r="K26" s="345">
        <v>39.59</v>
      </c>
      <c r="L26" s="342"/>
      <c r="M26" s="343"/>
      <c r="N26" s="342"/>
      <c r="O26" s="343"/>
      <c r="P26" s="344"/>
      <c r="Q26" s="345"/>
      <c r="R26" s="344"/>
      <c r="S26" s="345"/>
      <c r="T26" s="344"/>
      <c r="U26" s="345"/>
      <c r="V26" s="344"/>
      <c r="W26" s="345"/>
      <c r="X26" s="344"/>
      <c r="Y26" s="345"/>
      <c r="Z26" s="344"/>
      <c r="AA26" s="345"/>
      <c r="AB26" s="344"/>
      <c r="AC26" s="345"/>
      <c r="AD26" s="344"/>
      <c r="AE26" s="345"/>
      <c r="AF26" s="344"/>
      <c r="AG26" s="345"/>
      <c r="AH26" s="325">
        <v>2097.46</v>
      </c>
      <c r="AI26" s="326">
        <v>39.59</v>
      </c>
    </row>
    <row r="27" spans="1:35" ht="12.75">
      <c r="A27" s="226" t="s">
        <v>7</v>
      </c>
      <c r="B27" s="327"/>
      <c r="C27" s="328"/>
      <c r="D27" s="327"/>
      <c r="E27" s="328"/>
      <c r="F27" s="327"/>
      <c r="G27" s="328"/>
      <c r="H27" s="327"/>
      <c r="I27" s="328"/>
      <c r="J27" s="346">
        <v>2097.46</v>
      </c>
      <c r="K27" s="347">
        <v>39.59</v>
      </c>
      <c r="L27" s="327"/>
      <c r="M27" s="328"/>
      <c r="N27" s="327"/>
      <c r="O27" s="328"/>
      <c r="P27" s="346"/>
      <c r="Q27" s="347"/>
      <c r="R27" s="346"/>
      <c r="S27" s="347"/>
      <c r="T27" s="346"/>
      <c r="U27" s="347"/>
      <c r="V27" s="346"/>
      <c r="W27" s="347"/>
      <c r="X27" s="346"/>
      <c r="Y27" s="347"/>
      <c r="Z27" s="346"/>
      <c r="AA27" s="347"/>
      <c r="AB27" s="346"/>
      <c r="AC27" s="347"/>
      <c r="AD27" s="346"/>
      <c r="AE27" s="347"/>
      <c r="AF27" s="346"/>
      <c r="AG27" s="347"/>
      <c r="AH27" s="331">
        <v>2097.46</v>
      </c>
      <c r="AI27" s="332">
        <v>39.59</v>
      </c>
    </row>
    <row r="28" spans="1:35" ht="12.75">
      <c r="A28" s="227" t="s">
        <v>23</v>
      </c>
      <c r="B28" s="334"/>
      <c r="C28" s="335"/>
      <c r="D28" s="334"/>
      <c r="E28" s="335"/>
      <c r="F28" s="334"/>
      <c r="G28" s="335"/>
      <c r="H28" s="334"/>
      <c r="I28" s="335"/>
      <c r="J28" s="440">
        <v>2097.46</v>
      </c>
      <c r="K28" s="441">
        <v>39.59</v>
      </c>
      <c r="L28" s="408"/>
      <c r="M28" s="409"/>
      <c r="N28" s="408"/>
      <c r="O28" s="409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0"/>
      <c r="AC28" s="411"/>
      <c r="AD28" s="410"/>
      <c r="AE28" s="411"/>
      <c r="AF28" s="410"/>
      <c r="AG28" s="411"/>
      <c r="AH28" s="406">
        <v>2097.46</v>
      </c>
      <c r="AI28" s="407">
        <v>39.59</v>
      </c>
    </row>
    <row r="29" spans="1:35" ht="12.75">
      <c r="A29" s="228" t="s">
        <v>124</v>
      </c>
      <c r="B29" s="340">
        <v>502668.48</v>
      </c>
      <c r="C29" s="341">
        <v>147681.9</v>
      </c>
      <c r="D29" s="340">
        <v>509548.78</v>
      </c>
      <c r="E29" s="341">
        <v>155708.36</v>
      </c>
      <c r="F29" s="340">
        <v>518179.66</v>
      </c>
      <c r="G29" s="341">
        <v>126933.05</v>
      </c>
      <c r="H29" s="340">
        <v>604610.8</v>
      </c>
      <c r="I29" s="341">
        <v>103384.15</v>
      </c>
      <c r="J29" s="340">
        <v>635918.15</v>
      </c>
      <c r="K29" s="341">
        <v>63047.68</v>
      </c>
      <c r="L29" s="340">
        <v>498027.22869019303</v>
      </c>
      <c r="M29" s="341">
        <v>17884.99</v>
      </c>
      <c r="N29" s="340">
        <v>894722.918690193</v>
      </c>
      <c r="O29" s="341">
        <v>34065.72</v>
      </c>
      <c r="P29" s="340">
        <v>0</v>
      </c>
      <c r="Q29" s="341">
        <v>0</v>
      </c>
      <c r="R29" s="340">
        <v>0</v>
      </c>
      <c r="S29" s="341">
        <v>0</v>
      </c>
      <c r="T29" s="340">
        <v>0</v>
      </c>
      <c r="U29" s="341">
        <v>0</v>
      </c>
      <c r="V29" s="340">
        <v>0</v>
      </c>
      <c r="W29" s="341">
        <v>0</v>
      </c>
      <c r="X29" s="340">
        <v>0</v>
      </c>
      <c r="Y29" s="341">
        <v>0</v>
      </c>
      <c r="Z29" s="340">
        <v>0</v>
      </c>
      <c r="AA29" s="341">
        <v>0</v>
      </c>
      <c r="AB29" s="340">
        <v>0</v>
      </c>
      <c r="AC29" s="341">
        <v>0</v>
      </c>
      <c r="AD29" s="340">
        <v>0</v>
      </c>
      <c r="AE29" s="341">
        <v>0</v>
      </c>
      <c r="AF29" s="340">
        <v>0</v>
      </c>
      <c r="AG29" s="341">
        <v>0</v>
      </c>
      <c r="AH29" s="340">
        <v>4163676.0173803857</v>
      </c>
      <c r="AI29" s="341">
        <v>648705.85</v>
      </c>
    </row>
    <row r="30" spans="1:35" ht="13.5" thickBot="1">
      <c r="A30" s="229" t="s">
        <v>7</v>
      </c>
      <c r="B30" s="348">
        <v>502668.48</v>
      </c>
      <c r="C30" s="349">
        <v>147681.9</v>
      </c>
      <c r="D30" s="348">
        <v>509548.78</v>
      </c>
      <c r="E30" s="349">
        <v>155708.36</v>
      </c>
      <c r="F30" s="350">
        <v>518179.66</v>
      </c>
      <c r="G30" s="349">
        <v>126933.05</v>
      </c>
      <c r="H30" s="351">
        <v>604610.8</v>
      </c>
      <c r="I30" s="349">
        <v>103384.15</v>
      </c>
      <c r="J30" s="352">
        <v>635918.15</v>
      </c>
      <c r="K30" s="353">
        <v>63047.68</v>
      </c>
      <c r="L30" s="322">
        <v>498027.22869019303</v>
      </c>
      <c r="M30" s="324">
        <v>17884.99</v>
      </c>
      <c r="N30" s="569">
        <v>894722.918690193</v>
      </c>
      <c r="O30" s="570">
        <v>34065.72</v>
      </c>
      <c r="P30" s="352"/>
      <c r="Q30" s="353"/>
      <c r="R30" s="352"/>
      <c r="S30" s="353"/>
      <c r="T30" s="352"/>
      <c r="U30" s="353"/>
      <c r="V30" s="352"/>
      <c r="W30" s="353"/>
      <c r="X30" s="352"/>
      <c r="Y30" s="353"/>
      <c r="Z30" s="352"/>
      <c r="AA30" s="353"/>
      <c r="AB30" s="352"/>
      <c r="AC30" s="353"/>
      <c r="AD30" s="352"/>
      <c r="AE30" s="353"/>
      <c r="AF30" s="352"/>
      <c r="AG30" s="353"/>
      <c r="AH30" s="354">
        <v>4163676.0173803857</v>
      </c>
      <c r="AI30" s="355">
        <v>648705.85</v>
      </c>
    </row>
    <row r="31" spans="1:35" ht="13.5" thickBot="1">
      <c r="A31" s="136" t="s">
        <v>120</v>
      </c>
      <c r="B31" s="356">
        <v>751047.42</v>
      </c>
      <c r="C31" s="357">
        <v>1096882.89</v>
      </c>
      <c r="D31" s="356">
        <v>509548.78</v>
      </c>
      <c r="E31" s="357">
        <v>1117775.46</v>
      </c>
      <c r="F31" s="356">
        <v>3999870.52</v>
      </c>
      <c r="G31" s="357">
        <v>1484495.66</v>
      </c>
      <c r="H31" s="356">
        <v>6580842.94</v>
      </c>
      <c r="I31" s="357">
        <v>1601670.3</v>
      </c>
      <c r="J31" s="356">
        <v>6902374.03</v>
      </c>
      <c r="K31" s="357">
        <v>1509805.56</v>
      </c>
      <c r="L31" s="356">
        <v>7117687.428690194</v>
      </c>
      <c r="M31" s="357">
        <v>1412594.81</v>
      </c>
      <c r="N31" s="356">
        <v>7544946.478690194</v>
      </c>
      <c r="O31" s="357">
        <v>1309050.79</v>
      </c>
      <c r="P31" s="356">
        <v>0</v>
      </c>
      <c r="Q31" s="357">
        <v>0</v>
      </c>
      <c r="R31" s="356">
        <v>0</v>
      </c>
      <c r="S31" s="357">
        <v>0</v>
      </c>
      <c r="T31" s="356">
        <v>0</v>
      </c>
      <c r="U31" s="357">
        <v>0</v>
      </c>
      <c r="V31" s="356">
        <v>0</v>
      </c>
      <c r="W31" s="357">
        <v>0</v>
      </c>
      <c r="X31" s="356">
        <v>0</v>
      </c>
      <c r="Y31" s="357">
        <v>0</v>
      </c>
      <c r="Z31" s="356">
        <v>0</v>
      </c>
      <c r="AA31" s="357">
        <v>0</v>
      </c>
      <c r="AB31" s="356">
        <v>0</v>
      </c>
      <c r="AC31" s="357">
        <v>0</v>
      </c>
      <c r="AD31" s="356">
        <v>0</v>
      </c>
      <c r="AE31" s="357">
        <v>0</v>
      </c>
      <c r="AF31" s="356">
        <v>0</v>
      </c>
      <c r="AG31" s="357">
        <v>0</v>
      </c>
      <c r="AH31" s="356">
        <v>33406317.597380392</v>
      </c>
      <c r="AI31" s="357">
        <v>9532275.47</v>
      </c>
    </row>
    <row r="32" ht="12">
      <c r="A32" s="14"/>
    </row>
    <row r="33" spans="1:35" ht="12.75" thickBo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24" customHeight="1" thickBot="1">
      <c r="A34" s="154"/>
      <c r="B34" s="39"/>
      <c r="C34" s="39"/>
      <c r="D34" s="39"/>
      <c r="E34" s="39"/>
      <c r="F34" s="91"/>
      <c r="G34" s="92" t="s">
        <v>83</v>
      </c>
      <c r="H34" s="39"/>
      <c r="I34" s="92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8"/>
    </row>
    <row r="35" spans="1:36" ht="12.75">
      <c r="A35" s="230" t="s">
        <v>28</v>
      </c>
      <c r="B35" s="358">
        <v>270415.33</v>
      </c>
      <c r="C35" s="359">
        <v>139906.71</v>
      </c>
      <c r="D35" s="358">
        <v>844631.89</v>
      </c>
      <c r="E35" s="359">
        <v>385569.58</v>
      </c>
      <c r="F35" s="358">
        <v>895974.6</v>
      </c>
      <c r="G35" s="359">
        <v>334847.04</v>
      </c>
      <c r="H35" s="358">
        <v>951264.63</v>
      </c>
      <c r="I35" s="359">
        <v>279021.69</v>
      </c>
      <c r="J35" s="358">
        <v>330317.79</v>
      </c>
      <c r="K35" s="359">
        <v>79179.01</v>
      </c>
      <c r="L35" s="358">
        <v>1750456.4</v>
      </c>
      <c r="M35" s="359">
        <v>300614.35</v>
      </c>
      <c r="N35" s="358">
        <v>750313.53</v>
      </c>
      <c r="O35" s="359">
        <v>70025.79</v>
      </c>
      <c r="P35" s="358">
        <v>0</v>
      </c>
      <c r="Q35" s="359">
        <v>0</v>
      </c>
      <c r="R35" s="358">
        <v>0</v>
      </c>
      <c r="S35" s="359">
        <v>0</v>
      </c>
      <c r="T35" s="358">
        <v>0</v>
      </c>
      <c r="U35" s="359">
        <v>0</v>
      </c>
      <c r="V35" s="358">
        <v>0</v>
      </c>
      <c r="W35" s="359">
        <v>0</v>
      </c>
      <c r="X35" s="358">
        <v>0</v>
      </c>
      <c r="Y35" s="359">
        <v>0</v>
      </c>
      <c r="Z35" s="358">
        <v>0</v>
      </c>
      <c r="AA35" s="359">
        <v>0</v>
      </c>
      <c r="AB35" s="358">
        <v>0</v>
      </c>
      <c r="AC35" s="359">
        <v>0</v>
      </c>
      <c r="AD35" s="358">
        <v>0</v>
      </c>
      <c r="AE35" s="359">
        <v>0</v>
      </c>
      <c r="AF35" s="358">
        <v>0</v>
      </c>
      <c r="AG35" s="359">
        <v>0</v>
      </c>
      <c r="AH35" s="358">
        <v>5793374.170000001</v>
      </c>
      <c r="AI35" s="359">
        <v>1589164.17</v>
      </c>
      <c r="AJ35" s="1"/>
    </row>
    <row r="36" spans="1:36" ht="12.75">
      <c r="A36" s="231" t="s">
        <v>1</v>
      </c>
      <c r="B36" s="361">
        <v>270415.33</v>
      </c>
      <c r="C36" s="360">
        <v>139906.71</v>
      </c>
      <c r="D36" s="361">
        <v>844631.8900000001</v>
      </c>
      <c r="E36" s="360">
        <v>385569.57999999996</v>
      </c>
      <c r="F36" s="361">
        <v>895974.6000000001</v>
      </c>
      <c r="G36" s="360">
        <v>334847.04</v>
      </c>
      <c r="H36" s="361">
        <v>951264.6300000001</v>
      </c>
      <c r="I36" s="360">
        <v>279021.69</v>
      </c>
      <c r="J36" s="362">
        <v>330317.79</v>
      </c>
      <c r="K36" s="363">
        <v>79179.01</v>
      </c>
      <c r="L36" s="322">
        <v>1750456.4</v>
      </c>
      <c r="M36" s="324">
        <v>300614.35</v>
      </c>
      <c r="N36" s="322">
        <v>750313.53</v>
      </c>
      <c r="O36" s="324">
        <v>70025.79</v>
      </c>
      <c r="P36" s="364"/>
      <c r="Q36" s="365"/>
      <c r="R36" s="364"/>
      <c r="S36" s="365"/>
      <c r="T36" s="364"/>
      <c r="U36" s="365"/>
      <c r="V36" s="364"/>
      <c r="W36" s="365"/>
      <c r="X36" s="364"/>
      <c r="Y36" s="365"/>
      <c r="Z36" s="364"/>
      <c r="AA36" s="365"/>
      <c r="AB36" s="364"/>
      <c r="AC36" s="365"/>
      <c r="AD36" s="364"/>
      <c r="AE36" s="365"/>
      <c r="AF36" s="364"/>
      <c r="AG36" s="365"/>
      <c r="AH36" s="354">
        <v>5793374.170000001</v>
      </c>
      <c r="AI36" s="355">
        <v>1589164.17</v>
      </c>
      <c r="AJ36" s="1"/>
    </row>
    <row r="37" spans="1:36" ht="12.75">
      <c r="A37" s="153" t="s">
        <v>125</v>
      </c>
      <c r="B37" s="366">
        <v>0</v>
      </c>
      <c r="C37" s="367">
        <v>0</v>
      </c>
      <c r="D37" s="366">
        <v>0</v>
      </c>
      <c r="E37" s="367">
        <v>0</v>
      </c>
      <c r="F37" s="366">
        <v>0</v>
      </c>
      <c r="G37" s="367">
        <v>0</v>
      </c>
      <c r="H37" s="366">
        <v>0</v>
      </c>
      <c r="I37" s="367">
        <v>2634801.08</v>
      </c>
      <c r="J37" s="366">
        <v>9343993.7</v>
      </c>
      <c r="K37" s="367">
        <v>5721000.78</v>
      </c>
      <c r="L37" s="366">
        <v>13224003.76</v>
      </c>
      <c r="M37" s="367">
        <v>5787028.999999999</v>
      </c>
      <c r="N37" s="366">
        <v>13590298.65</v>
      </c>
      <c r="O37" s="367">
        <v>3836481.38</v>
      </c>
      <c r="P37" s="366">
        <v>0</v>
      </c>
      <c r="Q37" s="367">
        <v>0</v>
      </c>
      <c r="R37" s="366">
        <v>0</v>
      </c>
      <c r="S37" s="367">
        <v>0</v>
      </c>
      <c r="T37" s="366">
        <v>0</v>
      </c>
      <c r="U37" s="367">
        <v>0</v>
      </c>
      <c r="V37" s="366">
        <v>0</v>
      </c>
      <c r="W37" s="367">
        <v>0</v>
      </c>
      <c r="X37" s="366">
        <v>0</v>
      </c>
      <c r="Y37" s="367">
        <v>0</v>
      </c>
      <c r="Z37" s="366">
        <v>0</v>
      </c>
      <c r="AA37" s="367">
        <v>0</v>
      </c>
      <c r="AB37" s="366">
        <v>0</v>
      </c>
      <c r="AC37" s="367">
        <v>0</v>
      </c>
      <c r="AD37" s="366">
        <v>0</v>
      </c>
      <c r="AE37" s="367">
        <v>0</v>
      </c>
      <c r="AF37" s="366">
        <v>0</v>
      </c>
      <c r="AG37" s="367">
        <v>0</v>
      </c>
      <c r="AH37" s="366">
        <v>36158296.11</v>
      </c>
      <c r="AI37" s="367">
        <v>17979312.24</v>
      </c>
      <c r="AJ37" s="1"/>
    </row>
    <row r="38" spans="1:37" ht="12.75">
      <c r="A38" s="225" t="s">
        <v>1</v>
      </c>
      <c r="B38" s="436"/>
      <c r="C38" s="437"/>
      <c r="D38" s="436"/>
      <c r="E38" s="437"/>
      <c r="F38" s="436"/>
      <c r="G38" s="437"/>
      <c r="H38" s="352">
        <v>0</v>
      </c>
      <c r="I38" s="353">
        <v>167571.11</v>
      </c>
      <c r="J38" s="352">
        <v>548188.4</v>
      </c>
      <c r="K38" s="353">
        <v>339499.48</v>
      </c>
      <c r="L38" s="322">
        <v>1349868.68</v>
      </c>
      <c r="M38" s="324">
        <v>589969.45</v>
      </c>
      <c r="N38" s="386">
        <v>1387259.03</v>
      </c>
      <c r="O38" s="387">
        <v>390925.91</v>
      </c>
      <c r="P38" s="414"/>
      <c r="Q38" s="415"/>
      <c r="R38" s="414"/>
      <c r="S38" s="415"/>
      <c r="T38" s="414"/>
      <c r="U38" s="415"/>
      <c r="V38" s="414"/>
      <c r="W38" s="415"/>
      <c r="X38" s="414"/>
      <c r="Y38" s="415"/>
      <c r="Z38" s="414"/>
      <c r="AA38" s="415"/>
      <c r="AB38" s="414"/>
      <c r="AC38" s="415"/>
      <c r="AD38" s="414"/>
      <c r="AE38" s="415"/>
      <c r="AF38" s="414"/>
      <c r="AG38" s="415"/>
      <c r="AH38" s="325">
        <v>3285316.11</v>
      </c>
      <c r="AI38" s="326">
        <v>1487965.95</v>
      </c>
      <c r="AK38" s="463"/>
    </row>
    <row r="39" spans="1:36" ht="12.75">
      <c r="A39" s="226" t="s">
        <v>21</v>
      </c>
      <c r="B39" s="327"/>
      <c r="C39" s="328"/>
      <c r="D39" s="327"/>
      <c r="E39" s="328"/>
      <c r="F39" s="327"/>
      <c r="G39" s="328"/>
      <c r="H39" s="370">
        <v>0</v>
      </c>
      <c r="I39" s="371">
        <v>133349</v>
      </c>
      <c r="J39" s="370">
        <v>581282.16</v>
      </c>
      <c r="K39" s="371">
        <v>347112.01</v>
      </c>
      <c r="L39" s="329">
        <v>833895.6</v>
      </c>
      <c r="M39" s="330">
        <v>364459.84</v>
      </c>
      <c r="N39" s="329">
        <v>856993.87</v>
      </c>
      <c r="O39" s="330">
        <v>241498.6</v>
      </c>
      <c r="P39" s="372"/>
      <c r="Q39" s="373"/>
      <c r="R39" s="372"/>
      <c r="S39" s="373"/>
      <c r="T39" s="372"/>
      <c r="U39" s="373"/>
      <c r="V39" s="372"/>
      <c r="W39" s="373"/>
      <c r="X39" s="372"/>
      <c r="Y39" s="373"/>
      <c r="Z39" s="372"/>
      <c r="AA39" s="373"/>
      <c r="AB39" s="372"/>
      <c r="AC39" s="373"/>
      <c r="AD39" s="372"/>
      <c r="AE39" s="373"/>
      <c r="AF39" s="372"/>
      <c r="AG39" s="373"/>
      <c r="AH39" s="331">
        <v>2272171.63</v>
      </c>
      <c r="AI39" s="332">
        <v>1086419.45</v>
      </c>
      <c r="AJ39" s="1"/>
    </row>
    <row r="40" spans="1:36" ht="12.75">
      <c r="A40" s="226" t="s">
        <v>22</v>
      </c>
      <c r="B40" s="327"/>
      <c r="C40" s="328"/>
      <c r="D40" s="327"/>
      <c r="E40" s="328"/>
      <c r="F40" s="327"/>
      <c r="G40" s="328"/>
      <c r="H40" s="370">
        <v>0</v>
      </c>
      <c r="I40" s="371">
        <v>109943.01</v>
      </c>
      <c r="J40" s="370">
        <v>284147.82</v>
      </c>
      <c r="K40" s="371">
        <v>175976.1</v>
      </c>
      <c r="L40" s="329">
        <v>320184.9</v>
      </c>
      <c r="M40" s="330">
        <v>139939.02</v>
      </c>
      <c r="N40" s="329">
        <v>329053.77</v>
      </c>
      <c r="O40" s="330">
        <v>92726.49</v>
      </c>
      <c r="P40" s="372"/>
      <c r="Q40" s="373"/>
      <c r="R40" s="372"/>
      <c r="S40" s="373"/>
      <c r="T40" s="372"/>
      <c r="U40" s="373"/>
      <c r="V40" s="372"/>
      <c r="W40" s="373"/>
      <c r="X40" s="372"/>
      <c r="Y40" s="373"/>
      <c r="Z40" s="372"/>
      <c r="AA40" s="373"/>
      <c r="AB40" s="372"/>
      <c r="AC40" s="373"/>
      <c r="AD40" s="372"/>
      <c r="AE40" s="373"/>
      <c r="AF40" s="372"/>
      <c r="AG40" s="373"/>
      <c r="AH40" s="331">
        <v>933386.49</v>
      </c>
      <c r="AI40" s="332">
        <v>518584.62</v>
      </c>
      <c r="AJ40" s="1"/>
    </row>
    <row r="41" spans="1:36" ht="12.75">
      <c r="A41" s="226" t="s">
        <v>126</v>
      </c>
      <c r="B41" s="327"/>
      <c r="C41" s="328"/>
      <c r="D41" s="327"/>
      <c r="E41" s="328"/>
      <c r="F41" s="327"/>
      <c r="G41" s="328"/>
      <c r="H41" s="370">
        <v>0</v>
      </c>
      <c r="I41" s="371">
        <v>109943.01</v>
      </c>
      <c r="J41" s="370">
        <v>1403353.65</v>
      </c>
      <c r="K41" s="371">
        <v>865994.48</v>
      </c>
      <c r="L41" s="329">
        <v>1596249.92</v>
      </c>
      <c r="M41" s="330">
        <v>697652.07</v>
      </c>
      <c r="N41" s="329">
        <v>1640464.84</v>
      </c>
      <c r="O41" s="330">
        <v>462278.66</v>
      </c>
      <c r="P41" s="372"/>
      <c r="Q41" s="373"/>
      <c r="R41" s="372"/>
      <c r="S41" s="373"/>
      <c r="T41" s="372"/>
      <c r="U41" s="373"/>
      <c r="V41" s="372"/>
      <c r="W41" s="373"/>
      <c r="X41" s="372"/>
      <c r="Y41" s="373"/>
      <c r="Z41" s="372"/>
      <c r="AA41" s="373"/>
      <c r="AB41" s="372"/>
      <c r="AC41" s="373"/>
      <c r="AD41" s="372"/>
      <c r="AE41" s="373"/>
      <c r="AF41" s="372"/>
      <c r="AG41" s="373"/>
      <c r="AH41" s="331">
        <v>4640068.41</v>
      </c>
      <c r="AI41" s="332">
        <v>2135868.22</v>
      </c>
      <c r="AJ41" s="1"/>
    </row>
    <row r="42" spans="1:36" ht="12.75">
      <c r="A42" s="226" t="s">
        <v>127</v>
      </c>
      <c r="B42" s="327"/>
      <c r="C42" s="328"/>
      <c r="D42" s="327"/>
      <c r="E42" s="328"/>
      <c r="F42" s="327"/>
      <c r="G42" s="328"/>
      <c r="H42" s="370">
        <v>0</v>
      </c>
      <c r="I42" s="371">
        <v>63107.9</v>
      </c>
      <c r="J42" s="370">
        <v>182021.29</v>
      </c>
      <c r="K42" s="371">
        <v>112727.92</v>
      </c>
      <c r="L42" s="329">
        <v>205106.16</v>
      </c>
      <c r="M42" s="330">
        <v>89643.06</v>
      </c>
      <c r="N42" s="329">
        <v>210787.44</v>
      </c>
      <c r="O42" s="330">
        <v>59399.34</v>
      </c>
      <c r="P42" s="372"/>
      <c r="Q42" s="373"/>
      <c r="R42" s="372"/>
      <c r="S42" s="373"/>
      <c r="T42" s="372"/>
      <c r="U42" s="373"/>
      <c r="V42" s="372"/>
      <c r="W42" s="373"/>
      <c r="X42" s="372"/>
      <c r="Y42" s="373"/>
      <c r="Z42" s="372"/>
      <c r="AA42" s="373"/>
      <c r="AB42" s="372"/>
      <c r="AC42" s="373"/>
      <c r="AD42" s="372"/>
      <c r="AE42" s="373"/>
      <c r="AF42" s="372"/>
      <c r="AG42" s="373"/>
      <c r="AH42" s="331">
        <v>597914.89</v>
      </c>
      <c r="AI42" s="332">
        <v>324878.22</v>
      </c>
      <c r="AJ42" s="1"/>
    </row>
    <row r="43" spans="1:36" ht="12.75">
      <c r="A43" s="226" t="s">
        <v>14</v>
      </c>
      <c r="B43" s="327"/>
      <c r="C43" s="328"/>
      <c r="D43" s="327"/>
      <c r="E43" s="328"/>
      <c r="F43" s="327"/>
      <c r="G43" s="328"/>
      <c r="H43" s="370">
        <v>0</v>
      </c>
      <c r="I43" s="371">
        <v>71805.08</v>
      </c>
      <c r="J43" s="370">
        <v>182021.29</v>
      </c>
      <c r="K43" s="371">
        <v>112727.92</v>
      </c>
      <c r="L43" s="329">
        <v>233372.72</v>
      </c>
      <c r="M43" s="330">
        <v>101997.15</v>
      </c>
      <c r="N43" s="329">
        <v>239836.96</v>
      </c>
      <c r="O43" s="330">
        <v>67585.43</v>
      </c>
      <c r="P43" s="372"/>
      <c r="Q43" s="373"/>
      <c r="R43" s="372"/>
      <c r="S43" s="373"/>
      <c r="T43" s="372"/>
      <c r="U43" s="373"/>
      <c r="V43" s="372"/>
      <c r="W43" s="373"/>
      <c r="X43" s="372"/>
      <c r="Y43" s="373"/>
      <c r="Z43" s="372"/>
      <c r="AA43" s="373"/>
      <c r="AB43" s="372"/>
      <c r="AC43" s="373"/>
      <c r="AD43" s="372"/>
      <c r="AE43" s="373"/>
      <c r="AF43" s="372"/>
      <c r="AG43" s="373"/>
      <c r="AH43" s="331">
        <v>655230.97</v>
      </c>
      <c r="AI43" s="332">
        <v>354115.58</v>
      </c>
      <c r="AJ43" s="1"/>
    </row>
    <row r="44" spans="1:36" s="42" customFormat="1" ht="12">
      <c r="A44" s="226" t="s">
        <v>13</v>
      </c>
      <c r="B44" s="327"/>
      <c r="C44" s="328"/>
      <c r="D44" s="327"/>
      <c r="E44" s="328"/>
      <c r="F44" s="327"/>
      <c r="G44" s="328"/>
      <c r="H44" s="370">
        <v>0</v>
      </c>
      <c r="I44" s="371">
        <v>268796.12</v>
      </c>
      <c r="J44" s="370">
        <v>985569.67</v>
      </c>
      <c r="K44" s="371">
        <v>600680.52</v>
      </c>
      <c r="L44" s="329">
        <v>1217223.22</v>
      </c>
      <c r="M44" s="330">
        <v>531995.82</v>
      </c>
      <c r="N44" s="329">
        <v>1250939.38</v>
      </c>
      <c r="O44" s="330">
        <v>352511.4</v>
      </c>
      <c r="P44" s="372"/>
      <c r="Q44" s="373"/>
      <c r="R44" s="372"/>
      <c r="S44" s="373"/>
      <c r="T44" s="372"/>
      <c r="U44" s="373"/>
      <c r="V44" s="372"/>
      <c r="W44" s="373"/>
      <c r="X44" s="372"/>
      <c r="Y44" s="373"/>
      <c r="Z44" s="372"/>
      <c r="AA44" s="373"/>
      <c r="AB44" s="372"/>
      <c r="AC44" s="373"/>
      <c r="AD44" s="372"/>
      <c r="AE44" s="373"/>
      <c r="AF44" s="372"/>
      <c r="AG44" s="373"/>
      <c r="AH44" s="331">
        <v>3453732.27</v>
      </c>
      <c r="AI44" s="332">
        <v>1753983.86</v>
      </c>
      <c r="AJ44" s="1"/>
    </row>
    <row r="45" spans="1:36" ht="12.75">
      <c r="A45" s="226" t="s">
        <v>9</v>
      </c>
      <c r="B45" s="327"/>
      <c r="C45" s="328"/>
      <c r="D45" s="327"/>
      <c r="E45" s="328"/>
      <c r="F45" s="327"/>
      <c r="G45" s="328"/>
      <c r="H45" s="370">
        <v>0</v>
      </c>
      <c r="I45" s="371">
        <v>122810.96</v>
      </c>
      <c r="J45" s="370">
        <v>356545.3</v>
      </c>
      <c r="K45" s="371">
        <v>220812.69</v>
      </c>
      <c r="L45" s="329">
        <v>401764.17</v>
      </c>
      <c r="M45" s="330">
        <v>175593.81</v>
      </c>
      <c r="N45" s="329">
        <v>412892.72</v>
      </c>
      <c r="O45" s="330">
        <v>116352.08</v>
      </c>
      <c r="P45" s="372"/>
      <c r="Q45" s="373"/>
      <c r="R45" s="372"/>
      <c r="S45" s="373"/>
      <c r="T45" s="372"/>
      <c r="U45" s="373"/>
      <c r="V45" s="372"/>
      <c r="W45" s="373"/>
      <c r="X45" s="372"/>
      <c r="Y45" s="373"/>
      <c r="Z45" s="372"/>
      <c r="AA45" s="373"/>
      <c r="AB45" s="372"/>
      <c r="AC45" s="373"/>
      <c r="AD45" s="372"/>
      <c r="AE45" s="373"/>
      <c r="AF45" s="372"/>
      <c r="AG45" s="373"/>
      <c r="AH45" s="331">
        <v>1171202.19</v>
      </c>
      <c r="AI45" s="332">
        <v>635569.54</v>
      </c>
      <c r="AJ45" s="1"/>
    </row>
    <row r="46" spans="1:36" s="42" customFormat="1" ht="12">
      <c r="A46" s="226" t="s">
        <v>128</v>
      </c>
      <c r="B46" s="327"/>
      <c r="C46" s="328"/>
      <c r="D46" s="327"/>
      <c r="E46" s="328"/>
      <c r="F46" s="327"/>
      <c r="G46" s="328"/>
      <c r="H46" s="370">
        <v>0</v>
      </c>
      <c r="I46" s="371">
        <v>355400.99</v>
      </c>
      <c r="J46" s="370">
        <v>356545.3</v>
      </c>
      <c r="K46" s="371">
        <v>220812.69</v>
      </c>
      <c r="L46" s="329">
        <v>1205292.5</v>
      </c>
      <c r="M46" s="330">
        <v>526781.43</v>
      </c>
      <c r="N46" s="329">
        <v>1238678.21</v>
      </c>
      <c r="O46" s="330">
        <v>349056.24</v>
      </c>
      <c r="P46" s="372"/>
      <c r="Q46" s="373"/>
      <c r="R46" s="372"/>
      <c r="S46" s="373"/>
      <c r="T46" s="372"/>
      <c r="U46" s="373"/>
      <c r="V46" s="372"/>
      <c r="W46" s="373"/>
      <c r="X46" s="372"/>
      <c r="Y46" s="373"/>
      <c r="Z46" s="372"/>
      <c r="AA46" s="373"/>
      <c r="AB46" s="372"/>
      <c r="AC46" s="373"/>
      <c r="AD46" s="372"/>
      <c r="AE46" s="373"/>
      <c r="AF46" s="372"/>
      <c r="AG46" s="373"/>
      <c r="AH46" s="331">
        <v>2800516.01</v>
      </c>
      <c r="AI46" s="332">
        <v>1452051.35</v>
      </c>
      <c r="AJ46" s="1"/>
    </row>
    <row r="47" spans="1:35" ht="12.75">
      <c r="A47" s="226" t="s">
        <v>84</v>
      </c>
      <c r="B47" s="327"/>
      <c r="C47" s="328"/>
      <c r="D47" s="327"/>
      <c r="E47" s="328"/>
      <c r="F47" s="327"/>
      <c r="G47" s="328"/>
      <c r="H47" s="370">
        <v>0</v>
      </c>
      <c r="I47" s="371">
        <v>388267.43</v>
      </c>
      <c r="J47" s="370">
        <v>1156403.56</v>
      </c>
      <c r="K47" s="371">
        <v>710830.92</v>
      </c>
      <c r="L47" s="329">
        <v>1330758.94</v>
      </c>
      <c r="M47" s="330">
        <v>581617.4</v>
      </c>
      <c r="N47" s="329">
        <v>1367619.95</v>
      </c>
      <c r="O47" s="330">
        <v>385391.69</v>
      </c>
      <c r="P47" s="372"/>
      <c r="Q47" s="373"/>
      <c r="R47" s="372"/>
      <c r="S47" s="373"/>
      <c r="T47" s="372"/>
      <c r="U47" s="373"/>
      <c r="V47" s="372"/>
      <c r="W47" s="373"/>
      <c r="X47" s="372"/>
      <c r="Y47" s="373"/>
      <c r="Z47" s="372"/>
      <c r="AA47" s="373"/>
      <c r="AB47" s="372"/>
      <c r="AC47" s="373"/>
      <c r="AD47" s="372"/>
      <c r="AE47" s="373"/>
      <c r="AF47" s="372"/>
      <c r="AG47" s="373"/>
      <c r="AH47" s="331">
        <v>3854782.45</v>
      </c>
      <c r="AI47" s="332">
        <v>2066107.44</v>
      </c>
    </row>
    <row r="48" spans="1:35" ht="12.75">
      <c r="A48" s="226" t="s">
        <v>5</v>
      </c>
      <c r="B48" s="327"/>
      <c r="C48" s="328"/>
      <c r="D48" s="327"/>
      <c r="E48" s="328"/>
      <c r="F48" s="327"/>
      <c r="G48" s="328"/>
      <c r="H48" s="370">
        <v>0</v>
      </c>
      <c r="I48" s="371">
        <v>190308.39</v>
      </c>
      <c r="J48" s="370">
        <v>740060.12</v>
      </c>
      <c r="K48" s="371">
        <v>447586.86</v>
      </c>
      <c r="L48" s="329">
        <v>977619.29</v>
      </c>
      <c r="M48" s="330">
        <v>427275.28</v>
      </c>
      <c r="N48" s="329">
        <v>1004698.61</v>
      </c>
      <c r="O48" s="330">
        <v>283121.41</v>
      </c>
      <c r="P48" s="372"/>
      <c r="Q48" s="373"/>
      <c r="R48" s="372"/>
      <c r="S48" s="373"/>
      <c r="T48" s="372"/>
      <c r="U48" s="373"/>
      <c r="V48" s="372"/>
      <c r="W48" s="373"/>
      <c r="X48" s="372"/>
      <c r="Y48" s="373"/>
      <c r="Z48" s="372"/>
      <c r="AA48" s="373"/>
      <c r="AB48" s="372"/>
      <c r="AC48" s="373"/>
      <c r="AD48" s="372"/>
      <c r="AE48" s="373"/>
      <c r="AF48" s="372"/>
      <c r="AG48" s="373"/>
      <c r="AH48" s="331">
        <v>2722378.02</v>
      </c>
      <c r="AI48" s="332">
        <v>1348291.94</v>
      </c>
    </row>
    <row r="49" spans="1:35" ht="12.75">
      <c r="A49" s="226" t="s">
        <v>7</v>
      </c>
      <c r="B49" s="327"/>
      <c r="C49" s="328"/>
      <c r="D49" s="327"/>
      <c r="E49" s="328"/>
      <c r="F49" s="327"/>
      <c r="G49" s="328"/>
      <c r="H49" s="370">
        <v>0</v>
      </c>
      <c r="I49" s="371">
        <v>87878.99</v>
      </c>
      <c r="J49" s="370">
        <v>347396.26</v>
      </c>
      <c r="K49" s="371">
        <v>208183.97</v>
      </c>
      <c r="L49" s="329">
        <v>505657.31</v>
      </c>
      <c r="M49" s="330">
        <v>221001.01</v>
      </c>
      <c r="N49" s="329">
        <v>519663.63</v>
      </c>
      <c r="O49" s="330">
        <v>146439.83</v>
      </c>
      <c r="P49" s="372"/>
      <c r="Q49" s="373"/>
      <c r="R49" s="372"/>
      <c r="S49" s="373"/>
      <c r="T49" s="372"/>
      <c r="U49" s="373"/>
      <c r="V49" s="372"/>
      <c r="W49" s="373"/>
      <c r="X49" s="372"/>
      <c r="Y49" s="373"/>
      <c r="Z49" s="372"/>
      <c r="AA49" s="373"/>
      <c r="AB49" s="372"/>
      <c r="AC49" s="373"/>
      <c r="AD49" s="372"/>
      <c r="AE49" s="373"/>
      <c r="AF49" s="372"/>
      <c r="AG49" s="373"/>
      <c r="AH49" s="331">
        <v>1372717.2</v>
      </c>
      <c r="AI49" s="332">
        <v>663503.8</v>
      </c>
    </row>
    <row r="50" spans="1:36" ht="12.75">
      <c r="A50" s="226" t="s">
        <v>105</v>
      </c>
      <c r="B50" s="327"/>
      <c r="C50" s="328"/>
      <c r="D50" s="327"/>
      <c r="E50" s="328"/>
      <c r="F50" s="327"/>
      <c r="G50" s="328"/>
      <c r="H50" s="370">
        <v>0</v>
      </c>
      <c r="I50" s="371">
        <v>106326.36</v>
      </c>
      <c r="J50" s="370">
        <v>590432.46</v>
      </c>
      <c r="K50" s="371">
        <v>350567.55</v>
      </c>
      <c r="L50" s="329">
        <v>944604.67</v>
      </c>
      <c r="M50" s="330">
        <v>412846.02</v>
      </c>
      <c r="N50" s="329">
        <v>970769.53</v>
      </c>
      <c r="O50" s="330">
        <v>273560.3</v>
      </c>
      <c r="P50" s="372"/>
      <c r="Q50" s="373"/>
      <c r="R50" s="372"/>
      <c r="S50" s="373"/>
      <c r="T50" s="372"/>
      <c r="U50" s="373"/>
      <c r="V50" s="372"/>
      <c r="W50" s="373"/>
      <c r="X50" s="372"/>
      <c r="Y50" s="373"/>
      <c r="Z50" s="372"/>
      <c r="AA50" s="373"/>
      <c r="AB50" s="372"/>
      <c r="AC50" s="373"/>
      <c r="AD50" s="372"/>
      <c r="AE50" s="373"/>
      <c r="AF50" s="372"/>
      <c r="AG50" s="373"/>
      <c r="AH50" s="331">
        <v>2505806.66</v>
      </c>
      <c r="AI50" s="332">
        <v>1143300.23</v>
      </c>
      <c r="AJ50" s="1"/>
    </row>
    <row r="51" spans="1:35" ht="12.75">
      <c r="A51" s="226" t="s">
        <v>4</v>
      </c>
      <c r="B51" s="327"/>
      <c r="C51" s="328"/>
      <c r="D51" s="327"/>
      <c r="E51" s="328"/>
      <c r="F51" s="327"/>
      <c r="G51" s="328"/>
      <c r="H51" s="370">
        <v>0</v>
      </c>
      <c r="I51" s="371">
        <v>167571.11</v>
      </c>
      <c r="J51" s="370">
        <v>548188.4</v>
      </c>
      <c r="K51" s="371">
        <v>339499.48</v>
      </c>
      <c r="L51" s="329">
        <v>617712.4</v>
      </c>
      <c r="M51" s="330">
        <v>269975.49</v>
      </c>
      <c r="N51" s="329">
        <v>634822.58</v>
      </c>
      <c r="O51" s="330">
        <v>178891.32</v>
      </c>
      <c r="P51" s="372"/>
      <c r="Q51" s="373"/>
      <c r="R51" s="372"/>
      <c r="S51" s="373"/>
      <c r="T51" s="372"/>
      <c r="U51" s="373"/>
      <c r="V51" s="372"/>
      <c r="W51" s="373"/>
      <c r="X51" s="372"/>
      <c r="Y51" s="373"/>
      <c r="Z51" s="372"/>
      <c r="AA51" s="373"/>
      <c r="AB51" s="372"/>
      <c r="AC51" s="373"/>
      <c r="AD51" s="372"/>
      <c r="AE51" s="373"/>
      <c r="AF51" s="372"/>
      <c r="AG51" s="373"/>
      <c r="AH51" s="331">
        <v>1800723.38</v>
      </c>
      <c r="AI51" s="332">
        <v>955937.4</v>
      </c>
    </row>
    <row r="52" spans="1:35" ht="12.75">
      <c r="A52" s="226" t="s">
        <v>10</v>
      </c>
      <c r="B52" s="327"/>
      <c r="C52" s="328"/>
      <c r="D52" s="327"/>
      <c r="E52" s="328"/>
      <c r="F52" s="327"/>
      <c r="G52" s="328"/>
      <c r="H52" s="370">
        <v>0</v>
      </c>
      <c r="I52" s="371">
        <v>63286.9</v>
      </c>
      <c r="J52" s="370">
        <v>313389.72</v>
      </c>
      <c r="K52" s="371">
        <v>199407.09</v>
      </c>
      <c r="L52" s="329">
        <v>514014.8</v>
      </c>
      <c r="M52" s="330">
        <v>232040.42</v>
      </c>
      <c r="N52" s="329">
        <v>528252.63</v>
      </c>
      <c r="O52" s="330">
        <v>155631.34</v>
      </c>
      <c r="P52" s="372"/>
      <c r="Q52" s="373"/>
      <c r="R52" s="372"/>
      <c r="S52" s="373"/>
      <c r="T52" s="372"/>
      <c r="U52" s="373"/>
      <c r="V52" s="372"/>
      <c r="W52" s="373"/>
      <c r="X52" s="372"/>
      <c r="Y52" s="373"/>
      <c r="Z52" s="372"/>
      <c r="AA52" s="373"/>
      <c r="AB52" s="372"/>
      <c r="AC52" s="373"/>
      <c r="AD52" s="372"/>
      <c r="AE52" s="373"/>
      <c r="AF52" s="372"/>
      <c r="AG52" s="373"/>
      <c r="AH52" s="331">
        <v>1355657.15</v>
      </c>
      <c r="AI52" s="332">
        <v>650365.75</v>
      </c>
    </row>
    <row r="53" spans="1:35" ht="12.75">
      <c r="A53" s="226" t="s">
        <v>95</v>
      </c>
      <c r="B53" s="327"/>
      <c r="C53" s="328"/>
      <c r="D53" s="327"/>
      <c r="E53" s="328"/>
      <c r="F53" s="327"/>
      <c r="G53" s="328"/>
      <c r="H53" s="370">
        <v>0</v>
      </c>
      <c r="I53" s="371">
        <v>201751.26</v>
      </c>
      <c r="J53" s="370">
        <v>634067.76</v>
      </c>
      <c r="K53" s="371">
        <v>389570.12</v>
      </c>
      <c r="L53" s="329">
        <v>744315.32</v>
      </c>
      <c r="M53" s="330">
        <v>325308.14</v>
      </c>
      <c r="N53" s="329">
        <v>764932.26</v>
      </c>
      <c r="O53" s="330">
        <v>215555.9</v>
      </c>
      <c r="P53" s="372"/>
      <c r="Q53" s="373"/>
      <c r="R53" s="372"/>
      <c r="S53" s="373"/>
      <c r="T53" s="372"/>
      <c r="U53" s="373"/>
      <c r="V53" s="372"/>
      <c r="W53" s="373"/>
      <c r="X53" s="372"/>
      <c r="Y53" s="373"/>
      <c r="Z53" s="372"/>
      <c r="AA53" s="373"/>
      <c r="AB53" s="372"/>
      <c r="AC53" s="373"/>
      <c r="AD53" s="372"/>
      <c r="AE53" s="373"/>
      <c r="AF53" s="372"/>
      <c r="AG53" s="373"/>
      <c r="AH53" s="331">
        <v>2143315.34</v>
      </c>
      <c r="AI53" s="332">
        <v>1132185.42</v>
      </c>
    </row>
    <row r="54" spans="1:35" ht="12.75">
      <c r="A54" s="227" t="s">
        <v>6</v>
      </c>
      <c r="B54" s="334"/>
      <c r="C54" s="335"/>
      <c r="D54" s="334"/>
      <c r="E54" s="335"/>
      <c r="F54" s="334"/>
      <c r="G54" s="335"/>
      <c r="H54" s="438">
        <v>0</v>
      </c>
      <c r="I54" s="439">
        <v>26683.46</v>
      </c>
      <c r="J54" s="438">
        <v>134380.54</v>
      </c>
      <c r="K54" s="439">
        <v>79010.98</v>
      </c>
      <c r="L54" s="404">
        <v>226363.16</v>
      </c>
      <c r="M54" s="405">
        <v>98933.59</v>
      </c>
      <c r="N54" s="569">
        <v>232633.24</v>
      </c>
      <c r="O54" s="570">
        <v>65555.44</v>
      </c>
      <c r="P54" s="418"/>
      <c r="Q54" s="419"/>
      <c r="R54" s="418"/>
      <c r="S54" s="419"/>
      <c r="T54" s="418"/>
      <c r="U54" s="419"/>
      <c r="V54" s="418"/>
      <c r="W54" s="419"/>
      <c r="X54" s="418"/>
      <c r="Y54" s="419"/>
      <c r="Z54" s="418"/>
      <c r="AA54" s="419"/>
      <c r="AB54" s="418"/>
      <c r="AC54" s="419"/>
      <c r="AD54" s="418"/>
      <c r="AE54" s="419"/>
      <c r="AF54" s="418"/>
      <c r="AG54" s="419"/>
      <c r="AH54" s="406">
        <v>593376.94</v>
      </c>
      <c r="AI54" s="407">
        <v>270183.47</v>
      </c>
    </row>
    <row r="55" spans="1:37" ht="12.75">
      <c r="A55" s="153" t="s">
        <v>27</v>
      </c>
      <c r="B55" s="366">
        <v>1359410.81</v>
      </c>
      <c r="C55" s="367">
        <v>537624.61</v>
      </c>
      <c r="D55" s="366">
        <v>1481984.56</v>
      </c>
      <c r="E55" s="367">
        <v>551956.09</v>
      </c>
      <c r="F55" s="366">
        <v>1611026.47</v>
      </c>
      <c r="G55" s="367">
        <v>569052.57</v>
      </c>
      <c r="H55" s="366">
        <v>1711995.43</v>
      </c>
      <c r="I55" s="367">
        <v>568576.99</v>
      </c>
      <c r="J55" s="366">
        <v>2720533.93</v>
      </c>
      <c r="K55" s="367">
        <v>579590.05</v>
      </c>
      <c r="L55" s="366">
        <v>1213668.3955151003</v>
      </c>
      <c r="M55" s="367">
        <v>222650.64</v>
      </c>
      <c r="N55" s="366">
        <v>1217417.51</v>
      </c>
      <c r="O55" s="367">
        <v>200277.33</v>
      </c>
      <c r="P55" s="366">
        <v>0</v>
      </c>
      <c r="Q55" s="367">
        <v>0</v>
      </c>
      <c r="R55" s="366">
        <v>0</v>
      </c>
      <c r="S55" s="367">
        <v>0</v>
      </c>
      <c r="T55" s="366">
        <v>0</v>
      </c>
      <c r="U55" s="367">
        <v>0</v>
      </c>
      <c r="V55" s="366">
        <v>0</v>
      </c>
      <c r="W55" s="367">
        <v>0</v>
      </c>
      <c r="X55" s="366">
        <v>0</v>
      </c>
      <c r="Y55" s="367">
        <v>0</v>
      </c>
      <c r="Z55" s="366">
        <v>0</v>
      </c>
      <c r="AA55" s="367">
        <v>0</v>
      </c>
      <c r="AB55" s="366">
        <v>0</v>
      </c>
      <c r="AC55" s="367">
        <v>0</v>
      </c>
      <c r="AD55" s="366">
        <v>0</v>
      </c>
      <c r="AE55" s="367">
        <v>0</v>
      </c>
      <c r="AF55" s="366">
        <v>0</v>
      </c>
      <c r="AG55" s="367">
        <v>0</v>
      </c>
      <c r="AH55" s="366">
        <v>11316037.1055151</v>
      </c>
      <c r="AI55" s="367">
        <v>3229728.28</v>
      </c>
      <c r="AK55" s="398"/>
    </row>
    <row r="56" spans="1:37" ht="12.75">
      <c r="A56" s="225" t="s">
        <v>22</v>
      </c>
      <c r="B56" s="352">
        <v>832355.42</v>
      </c>
      <c r="C56" s="353">
        <v>326245.66</v>
      </c>
      <c r="D56" s="352">
        <v>906975.55</v>
      </c>
      <c r="E56" s="353">
        <v>337213.1</v>
      </c>
      <c r="F56" s="352">
        <v>985805.8</v>
      </c>
      <c r="G56" s="353">
        <v>347571.78</v>
      </c>
      <c r="H56" s="352">
        <v>1047234.08</v>
      </c>
      <c r="I56" s="353">
        <v>347104.72</v>
      </c>
      <c r="J56" s="352">
        <v>1684086.34</v>
      </c>
      <c r="K56" s="353">
        <v>353759.34</v>
      </c>
      <c r="L56" s="327"/>
      <c r="M56" s="328"/>
      <c r="N56" s="327"/>
      <c r="O56" s="328"/>
      <c r="P56" s="412"/>
      <c r="Q56" s="413"/>
      <c r="R56" s="412"/>
      <c r="S56" s="413"/>
      <c r="T56" s="412"/>
      <c r="U56" s="413"/>
      <c r="V56" s="414"/>
      <c r="W56" s="415"/>
      <c r="X56" s="414"/>
      <c r="Y56" s="415"/>
      <c r="Z56" s="414"/>
      <c r="AA56" s="415"/>
      <c r="AB56" s="414"/>
      <c r="AC56" s="415"/>
      <c r="AD56" s="414"/>
      <c r="AE56" s="415"/>
      <c r="AF56" s="414"/>
      <c r="AG56" s="415"/>
      <c r="AH56" s="325">
        <v>5456457.19</v>
      </c>
      <c r="AI56" s="326">
        <v>1711894.6</v>
      </c>
      <c r="AK56" s="398"/>
    </row>
    <row r="57" spans="1:35" ht="12.75">
      <c r="A57" s="226" t="s">
        <v>128</v>
      </c>
      <c r="B57" s="370">
        <v>496218.79</v>
      </c>
      <c r="C57" s="371">
        <v>195312.01</v>
      </c>
      <c r="D57" s="370">
        <v>541366.75</v>
      </c>
      <c r="E57" s="371">
        <v>202178.85</v>
      </c>
      <c r="F57" s="370">
        <v>588640.65</v>
      </c>
      <c r="G57" s="371">
        <v>208522.48</v>
      </c>
      <c r="H57" s="370">
        <v>625867.91</v>
      </c>
      <c r="I57" s="371">
        <v>208515.51</v>
      </c>
      <c r="J57" s="370">
        <v>975807.81</v>
      </c>
      <c r="K57" s="371">
        <v>212611.39</v>
      </c>
      <c r="L57" s="329">
        <v>1142659.86</v>
      </c>
      <c r="M57" s="330">
        <v>209623.95</v>
      </c>
      <c r="N57" s="329">
        <v>1146189.65</v>
      </c>
      <c r="O57" s="330">
        <v>188559.62</v>
      </c>
      <c r="P57" s="370"/>
      <c r="Q57" s="371"/>
      <c r="R57" s="370"/>
      <c r="S57" s="371"/>
      <c r="T57" s="370"/>
      <c r="U57" s="371"/>
      <c r="V57" s="372"/>
      <c r="W57" s="373"/>
      <c r="X57" s="372"/>
      <c r="Y57" s="373"/>
      <c r="Z57" s="372"/>
      <c r="AA57" s="373"/>
      <c r="AB57" s="372"/>
      <c r="AC57" s="373"/>
      <c r="AD57" s="372"/>
      <c r="AE57" s="373"/>
      <c r="AF57" s="372"/>
      <c r="AG57" s="373"/>
      <c r="AH57" s="331">
        <v>5516751.42</v>
      </c>
      <c r="AI57" s="332">
        <v>1425323.81</v>
      </c>
    </row>
    <row r="58" spans="1:35" ht="12.75">
      <c r="A58" s="227" t="s">
        <v>95</v>
      </c>
      <c r="B58" s="438">
        <v>30836.6</v>
      </c>
      <c r="C58" s="439">
        <v>16066.94</v>
      </c>
      <c r="D58" s="438">
        <v>33642.26</v>
      </c>
      <c r="E58" s="439">
        <v>12564.14</v>
      </c>
      <c r="F58" s="438">
        <v>36580.02</v>
      </c>
      <c r="G58" s="439">
        <v>12958.31</v>
      </c>
      <c r="H58" s="438">
        <v>38893.44</v>
      </c>
      <c r="I58" s="439">
        <v>12956.76</v>
      </c>
      <c r="J58" s="438">
        <v>60639.78</v>
      </c>
      <c r="K58" s="439">
        <v>13219.32</v>
      </c>
      <c r="L58" s="404">
        <v>71008.53551510032</v>
      </c>
      <c r="M58" s="405">
        <v>13026.69</v>
      </c>
      <c r="N58" s="569">
        <v>71227.86</v>
      </c>
      <c r="O58" s="570">
        <v>11717.71</v>
      </c>
      <c r="P58" s="416"/>
      <c r="Q58" s="417"/>
      <c r="R58" s="416"/>
      <c r="S58" s="417"/>
      <c r="T58" s="416"/>
      <c r="U58" s="417"/>
      <c r="V58" s="418"/>
      <c r="W58" s="419"/>
      <c r="X58" s="418"/>
      <c r="Y58" s="419"/>
      <c r="Z58" s="418"/>
      <c r="AA58" s="419"/>
      <c r="AB58" s="418"/>
      <c r="AC58" s="419"/>
      <c r="AD58" s="418"/>
      <c r="AE58" s="419"/>
      <c r="AF58" s="418"/>
      <c r="AG58" s="419"/>
      <c r="AH58" s="406">
        <v>342828.4955151003</v>
      </c>
      <c r="AI58" s="407">
        <v>92509.87</v>
      </c>
    </row>
    <row r="59" spans="1:37" ht="12.75">
      <c r="A59" s="152" t="s">
        <v>200</v>
      </c>
      <c r="B59" s="366">
        <v>0</v>
      </c>
      <c r="C59" s="367">
        <v>0</v>
      </c>
      <c r="D59" s="366">
        <v>600000.26</v>
      </c>
      <c r="E59" s="367">
        <v>441511.31</v>
      </c>
      <c r="F59" s="366">
        <v>1306209.87</v>
      </c>
      <c r="G59" s="367">
        <v>1609834.167015441</v>
      </c>
      <c r="H59" s="366">
        <v>1825648.81</v>
      </c>
      <c r="I59" s="367">
        <v>1393170.031274683</v>
      </c>
      <c r="J59" s="366">
        <v>2044530.06</v>
      </c>
      <c r="K59" s="367">
        <v>1052294.4450876894</v>
      </c>
      <c r="L59" s="366">
        <v>3919338.21</v>
      </c>
      <c r="M59" s="367">
        <v>2080086.059041096</v>
      </c>
      <c r="N59" s="366">
        <v>8474143.719999999</v>
      </c>
      <c r="O59" s="367">
        <v>4952265.764109589</v>
      </c>
      <c r="P59" s="366">
        <v>0</v>
      </c>
      <c r="Q59" s="367">
        <v>0</v>
      </c>
      <c r="R59" s="366">
        <v>0</v>
      </c>
      <c r="S59" s="367">
        <v>0</v>
      </c>
      <c r="T59" s="366">
        <v>0</v>
      </c>
      <c r="U59" s="367">
        <v>0</v>
      </c>
      <c r="V59" s="366">
        <v>0</v>
      </c>
      <c r="W59" s="367">
        <v>0</v>
      </c>
      <c r="X59" s="366">
        <v>0</v>
      </c>
      <c r="Y59" s="367">
        <v>0</v>
      </c>
      <c r="Z59" s="366">
        <v>0</v>
      </c>
      <c r="AA59" s="367">
        <v>0</v>
      </c>
      <c r="AB59" s="366">
        <v>0</v>
      </c>
      <c r="AC59" s="367">
        <v>0</v>
      </c>
      <c r="AD59" s="366">
        <v>0</v>
      </c>
      <c r="AE59" s="367">
        <v>0</v>
      </c>
      <c r="AF59" s="366">
        <v>0</v>
      </c>
      <c r="AG59" s="367">
        <v>0</v>
      </c>
      <c r="AH59" s="366">
        <v>18169870.93</v>
      </c>
      <c r="AI59" s="367">
        <v>11529161.776528498</v>
      </c>
      <c r="AJ59" s="398"/>
      <c r="AK59" s="398"/>
    </row>
    <row r="60" spans="1:35" ht="12.75" customHeight="1">
      <c r="A60" s="522" t="s">
        <v>198</v>
      </c>
      <c r="B60" s="352"/>
      <c r="C60" s="353"/>
      <c r="D60" s="352"/>
      <c r="E60" s="353"/>
      <c r="F60" s="352"/>
      <c r="G60" s="353"/>
      <c r="H60" s="352"/>
      <c r="I60" s="353"/>
      <c r="J60" s="352"/>
      <c r="K60" s="353"/>
      <c r="L60" s="386"/>
      <c r="M60" s="387"/>
      <c r="N60" s="386">
        <v>0</v>
      </c>
      <c r="O60" s="387">
        <v>0</v>
      </c>
      <c r="P60" s="364"/>
      <c r="Q60" s="365"/>
      <c r="R60" s="364"/>
      <c r="S60" s="365"/>
      <c r="T60" s="364"/>
      <c r="U60" s="365"/>
      <c r="V60" s="364"/>
      <c r="W60" s="365"/>
      <c r="X60" s="364"/>
      <c r="Y60" s="365"/>
      <c r="Z60" s="364"/>
      <c r="AA60" s="365"/>
      <c r="AB60" s="364"/>
      <c r="AC60" s="365"/>
      <c r="AD60" s="364"/>
      <c r="AE60" s="365"/>
      <c r="AF60" s="364"/>
      <c r="AG60" s="365"/>
      <c r="AH60" s="338">
        <v>0</v>
      </c>
      <c r="AI60" s="339">
        <v>0</v>
      </c>
    </row>
    <row r="61" spans="1:35" ht="12.75">
      <c r="A61" s="389" t="s">
        <v>22</v>
      </c>
      <c r="B61" s="327"/>
      <c r="C61" s="328"/>
      <c r="D61" s="352">
        <v>0</v>
      </c>
      <c r="E61" s="353">
        <v>110034.25</v>
      </c>
      <c r="F61" s="352">
        <v>506209.95</v>
      </c>
      <c r="G61" s="353">
        <v>1272631.727015441</v>
      </c>
      <c r="H61" s="352">
        <v>1025648.89</v>
      </c>
      <c r="I61" s="353">
        <v>1176532.521274683</v>
      </c>
      <c r="J61" s="352">
        <v>1244530.14</v>
      </c>
      <c r="K61" s="353">
        <v>957651.2750876895</v>
      </c>
      <c r="L61" s="329">
        <v>1499155.86</v>
      </c>
      <c r="M61" s="330">
        <v>582350.77</v>
      </c>
      <c r="N61" s="329">
        <v>1603813</v>
      </c>
      <c r="O61" s="330">
        <v>303518.47</v>
      </c>
      <c r="P61" s="372"/>
      <c r="Q61" s="373"/>
      <c r="R61" s="372"/>
      <c r="S61" s="373"/>
      <c r="T61" s="372"/>
      <c r="U61" s="373"/>
      <c r="V61" s="372"/>
      <c r="W61" s="373"/>
      <c r="X61" s="372"/>
      <c r="Y61" s="373"/>
      <c r="Z61" s="372"/>
      <c r="AA61" s="373"/>
      <c r="AB61" s="372"/>
      <c r="AC61" s="373"/>
      <c r="AD61" s="372"/>
      <c r="AE61" s="373"/>
      <c r="AF61" s="372"/>
      <c r="AG61" s="373"/>
      <c r="AH61" s="331">
        <v>5879357.84</v>
      </c>
      <c r="AI61" s="332">
        <v>4402719.013377814</v>
      </c>
    </row>
    <row r="62" spans="1:35" ht="12.75">
      <c r="A62" s="389" t="s">
        <v>126</v>
      </c>
      <c r="B62" s="327"/>
      <c r="C62" s="328"/>
      <c r="D62" s="327"/>
      <c r="E62" s="328"/>
      <c r="F62" s="327"/>
      <c r="G62" s="328"/>
      <c r="H62" s="327"/>
      <c r="I62" s="328"/>
      <c r="J62" s="327"/>
      <c r="K62" s="328"/>
      <c r="L62" s="327"/>
      <c r="M62" s="328"/>
      <c r="N62" s="329">
        <v>296029.52</v>
      </c>
      <c r="O62" s="330">
        <v>1077905</v>
      </c>
      <c r="P62" s="372"/>
      <c r="Q62" s="373"/>
      <c r="R62" s="372"/>
      <c r="S62" s="373"/>
      <c r="T62" s="372"/>
      <c r="U62" s="373"/>
      <c r="V62" s="372"/>
      <c r="W62" s="373"/>
      <c r="X62" s="372"/>
      <c r="Y62" s="373"/>
      <c r="Z62" s="372"/>
      <c r="AA62" s="373"/>
      <c r="AB62" s="372"/>
      <c r="AC62" s="373"/>
      <c r="AD62" s="372"/>
      <c r="AE62" s="373"/>
      <c r="AF62" s="372"/>
      <c r="AG62" s="373"/>
      <c r="AH62" s="331">
        <v>296029.52</v>
      </c>
      <c r="AI62" s="332">
        <v>1077905</v>
      </c>
    </row>
    <row r="63" spans="1:35" ht="12.75">
      <c r="A63" s="388" t="s">
        <v>84</v>
      </c>
      <c r="B63" s="327"/>
      <c r="C63" s="328"/>
      <c r="D63" s="327"/>
      <c r="E63" s="328"/>
      <c r="F63" s="327"/>
      <c r="G63" s="328"/>
      <c r="H63" s="327"/>
      <c r="I63" s="328"/>
      <c r="J63" s="352">
        <v>0</v>
      </c>
      <c r="K63" s="353">
        <v>0</v>
      </c>
      <c r="L63" s="329">
        <v>1853286.97</v>
      </c>
      <c r="M63" s="330">
        <v>1090471.5</v>
      </c>
      <c r="N63" s="329">
        <v>2864564.57</v>
      </c>
      <c r="O63" s="330">
        <v>667772.06</v>
      </c>
      <c r="P63" s="372"/>
      <c r="Q63" s="373"/>
      <c r="R63" s="372"/>
      <c r="S63" s="373"/>
      <c r="T63" s="372"/>
      <c r="U63" s="373"/>
      <c r="V63" s="372"/>
      <c r="W63" s="373"/>
      <c r="X63" s="372"/>
      <c r="Y63" s="373"/>
      <c r="Z63" s="372"/>
      <c r="AA63" s="373"/>
      <c r="AB63" s="372"/>
      <c r="AC63" s="373"/>
      <c r="AD63" s="372"/>
      <c r="AE63" s="373"/>
      <c r="AF63" s="372"/>
      <c r="AG63" s="373"/>
      <c r="AH63" s="331">
        <v>4717851.54</v>
      </c>
      <c r="AI63" s="332">
        <v>1758243.56</v>
      </c>
    </row>
    <row r="64" spans="1:35" ht="12.75" customHeight="1">
      <c r="A64" s="388" t="s">
        <v>23</v>
      </c>
      <c r="B64" s="327"/>
      <c r="C64" s="328"/>
      <c r="D64" s="327"/>
      <c r="E64" s="328"/>
      <c r="F64" s="327"/>
      <c r="G64" s="328"/>
      <c r="H64" s="327"/>
      <c r="I64" s="328"/>
      <c r="J64" s="327"/>
      <c r="K64" s="328"/>
      <c r="L64" s="329">
        <v>293814.9</v>
      </c>
      <c r="M64" s="330">
        <v>193493.96</v>
      </c>
      <c r="N64" s="329">
        <v>699461.09</v>
      </c>
      <c r="O64" s="330">
        <v>151292.39</v>
      </c>
      <c r="P64" s="372"/>
      <c r="Q64" s="373"/>
      <c r="R64" s="372"/>
      <c r="S64" s="373"/>
      <c r="T64" s="372"/>
      <c r="U64" s="373"/>
      <c r="V64" s="372"/>
      <c r="W64" s="373"/>
      <c r="X64" s="372"/>
      <c r="Y64" s="373"/>
      <c r="Z64" s="372"/>
      <c r="AA64" s="373"/>
      <c r="AB64" s="372"/>
      <c r="AC64" s="373"/>
      <c r="AD64" s="372"/>
      <c r="AE64" s="373"/>
      <c r="AF64" s="372"/>
      <c r="AG64" s="373"/>
      <c r="AH64" s="331">
        <v>993275.99</v>
      </c>
      <c r="AI64" s="332">
        <v>344786.35</v>
      </c>
    </row>
    <row r="65" spans="1:35" ht="12.75" customHeight="1">
      <c r="A65" s="388" t="s">
        <v>105</v>
      </c>
      <c r="B65" s="327"/>
      <c r="C65" s="328"/>
      <c r="D65" s="327"/>
      <c r="E65" s="328"/>
      <c r="F65" s="327"/>
      <c r="G65" s="328"/>
      <c r="H65" s="327"/>
      <c r="I65" s="328"/>
      <c r="J65" s="327"/>
      <c r="K65" s="328"/>
      <c r="L65" s="329">
        <v>0</v>
      </c>
      <c r="M65" s="330">
        <v>144734.5890410959</v>
      </c>
      <c r="N65" s="329">
        <v>924587.79</v>
      </c>
      <c r="O65" s="330">
        <v>1589556.124109589</v>
      </c>
      <c r="P65" s="372"/>
      <c r="Q65" s="373"/>
      <c r="R65" s="372"/>
      <c r="S65" s="373"/>
      <c r="T65" s="372"/>
      <c r="U65" s="373"/>
      <c r="V65" s="372"/>
      <c r="W65" s="373"/>
      <c r="X65" s="372"/>
      <c r="Y65" s="373"/>
      <c r="Z65" s="372"/>
      <c r="AA65" s="373"/>
      <c r="AB65" s="372"/>
      <c r="AC65" s="373"/>
      <c r="AD65" s="372"/>
      <c r="AE65" s="373"/>
      <c r="AF65" s="372"/>
      <c r="AG65" s="373"/>
      <c r="AH65" s="331">
        <v>924587.79</v>
      </c>
      <c r="AI65" s="332">
        <v>1734290.713150685</v>
      </c>
    </row>
    <row r="66" spans="1:35" ht="12.75">
      <c r="A66" s="388" t="s">
        <v>4</v>
      </c>
      <c r="B66" s="327"/>
      <c r="C66" s="328"/>
      <c r="D66" s="438">
        <v>600000.26</v>
      </c>
      <c r="E66" s="439">
        <v>331477.06</v>
      </c>
      <c r="F66" s="438">
        <v>799999.92</v>
      </c>
      <c r="G66" s="439">
        <v>337202.44</v>
      </c>
      <c r="H66" s="438">
        <v>799999.92</v>
      </c>
      <c r="I66" s="439">
        <v>216637.51</v>
      </c>
      <c r="J66" s="438">
        <v>799999.92</v>
      </c>
      <c r="K66" s="439">
        <v>94643.17</v>
      </c>
      <c r="L66" s="329">
        <v>199999.98</v>
      </c>
      <c r="M66" s="330">
        <v>5057.9</v>
      </c>
      <c r="N66" s="329">
        <v>1218106.96</v>
      </c>
      <c r="O66" s="330">
        <v>522166.18</v>
      </c>
      <c r="P66" s="372"/>
      <c r="Q66" s="373"/>
      <c r="R66" s="372"/>
      <c r="S66" s="373"/>
      <c r="T66" s="372"/>
      <c r="U66" s="373"/>
      <c r="V66" s="372"/>
      <c r="W66" s="373"/>
      <c r="X66" s="372"/>
      <c r="Y66" s="373"/>
      <c r="Z66" s="372"/>
      <c r="AA66" s="373"/>
      <c r="AB66" s="372"/>
      <c r="AC66" s="373"/>
      <c r="AD66" s="372"/>
      <c r="AE66" s="373"/>
      <c r="AF66" s="372"/>
      <c r="AG66" s="373"/>
      <c r="AH66" s="331">
        <v>4418106.96</v>
      </c>
      <c r="AI66" s="332">
        <v>1507184.26</v>
      </c>
    </row>
    <row r="67" spans="1:35" ht="12.75" customHeight="1">
      <c r="A67" s="390" t="s">
        <v>10</v>
      </c>
      <c r="B67" s="327"/>
      <c r="C67" s="328"/>
      <c r="D67" s="327"/>
      <c r="E67" s="328"/>
      <c r="F67" s="327"/>
      <c r="G67" s="328"/>
      <c r="H67" s="327"/>
      <c r="I67" s="328"/>
      <c r="J67" s="327"/>
      <c r="K67" s="328"/>
      <c r="L67" s="329">
        <v>73080.5</v>
      </c>
      <c r="M67" s="330">
        <v>63977.34</v>
      </c>
      <c r="N67" s="569">
        <v>867580.79</v>
      </c>
      <c r="O67" s="570">
        <v>640055.54</v>
      </c>
      <c r="P67" s="368"/>
      <c r="Q67" s="369"/>
      <c r="R67" s="368"/>
      <c r="S67" s="369"/>
      <c r="T67" s="368"/>
      <c r="U67" s="369"/>
      <c r="V67" s="368"/>
      <c r="W67" s="369"/>
      <c r="X67" s="368"/>
      <c r="Y67" s="369"/>
      <c r="Z67" s="368"/>
      <c r="AA67" s="369"/>
      <c r="AB67" s="368"/>
      <c r="AC67" s="369"/>
      <c r="AD67" s="368"/>
      <c r="AE67" s="369"/>
      <c r="AF67" s="368"/>
      <c r="AG67" s="369"/>
      <c r="AH67" s="338">
        <v>940661.29</v>
      </c>
      <c r="AI67" s="339">
        <v>704032.88</v>
      </c>
    </row>
    <row r="68" spans="1:37" ht="12.75">
      <c r="A68" s="153" t="s">
        <v>130</v>
      </c>
      <c r="B68" s="366">
        <v>0</v>
      </c>
      <c r="C68" s="367">
        <v>243196.48799999998</v>
      </c>
      <c r="D68" s="366">
        <v>0</v>
      </c>
      <c r="E68" s="367">
        <v>243196.48799999995</v>
      </c>
      <c r="F68" s="366">
        <v>675545.76</v>
      </c>
      <c r="G68" s="367">
        <v>263647.86380712327</v>
      </c>
      <c r="H68" s="366">
        <v>803394.6</v>
      </c>
      <c r="I68" s="367">
        <v>218820.5270257534</v>
      </c>
      <c r="J68" s="366">
        <v>803394.68</v>
      </c>
      <c r="K68" s="367">
        <v>170616.83</v>
      </c>
      <c r="L68" s="366">
        <v>803394.72</v>
      </c>
      <c r="M68" s="367">
        <v>122413.13</v>
      </c>
      <c r="N68" s="366">
        <v>1289333.77</v>
      </c>
      <c r="O68" s="367">
        <v>746425.71</v>
      </c>
      <c r="P68" s="366">
        <v>0</v>
      </c>
      <c r="Q68" s="367">
        <v>0</v>
      </c>
      <c r="R68" s="366">
        <v>0</v>
      </c>
      <c r="S68" s="367">
        <v>0</v>
      </c>
      <c r="T68" s="366">
        <v>0</v>
      </c>
      <c r="U68" s="367">
        <v>0</v>
      </c>
      <c r="V68" s="366">
        <v>0</v>
      </c>
      <c r="W68" s="367">
        <v>0</v>
      </c>
      <c r="X68" s="366">
        <v>0</v>
      </c>
      <c r="Y68" s="367">
        <v>0</v>
      </c>
      <c r="Z68" s="366">
        <v>0</v>
      </c>
      <c r="AA68" s="367">
        <v>0</v>
      </c>
      <c r="AB68" s="366">
        <v>0</v>
      </c>
      <c r="AC68" s="367">
        <v>0</v>
      </c>
      <c r="AD68" s="366">
        <v>0</v>
      </c>
      <c r="AE68" s="367">
        <v>0</v>
      </c>
      <c r="AF68" s="366">
        <v>0</v>
      </c>
      <c r="AG68" s="367">
        <v>0</v>
      </c>
      <c r="AH68" s="366">
        <v>4375063.53</v>
      </c>
      <c r="AI68" s="367">
        <v>2008317.0368328765</v>
      </c>
      <c r="AK68" s="398"/>
    </row>
    <row r="69" spans="1:37" ht="12.75">
      <c r="A69" s="225" t="s">
        <v>126</v>
      </c>
      <c r="B69" s="412">
        <v>0</v>
      </c>
      <c r="C69" s="413">
        <v>243196.48799999998</v>
      </c>
      <c r="D69" s="412">
        <v>0</v>
      </c>
      <c r="E69" s="413">
        <v>243196.48799999995</v>
      </c>
      <c r="F69" s="412">
        <v>675545.76</v>
      </c>
      <c r="G69" s="413">
        <v>225188.1038071233</v>
      </c>
      <c r="H69" s="412">
        <v>675545.76</v>
      </c>
      <c r="I69" s="413">
        <v>183998.32702575342</v>
      </c>
      <c r="J69" s="412">
        <v>675545.82</v>
      </c>
      <c r="K69" s="413">
        <v>143465.58</v>
      </c>
      <c r="L69" s="322">
        <v>675545.82</v>
      </c>
      <c r="M69" s="324">
        <v>102932.81</v>
      </c>
      <c r="N69" s="322">
        <v>619250.34</v>
      </c>
      <c r="O69" s="324">
        <v>58670.68</v>
      </c>
      <c r="P69" s="414"/>
      <c r="Q69" s="415"/>
      <c r="R69" s="414"/>
      <c r="S69" s="415"/>
      <c r="T69" s="414"/>
      <c r="U69" s="415"/>
      <c r="V69" s="414"/>
      <c r="W69" s="415"/>
      <c r="X69" s="414"/>
      <c r="Y69" s="415"/>
      <c r="Z69" s="414"/>
      <c r="AA69" s="415"/>
      <c r="AB69" s="414"/>
      <c r="AC69" s="415"/>
      <c r="AD69" s="414"/>
      <c r="AE69" s="415"/>
      <c r="AF69" s="414"/>
      <c r="AG69" s="415"/>
      <c r="AH69" s="325">
        <v>3321433.5</v>
      </c>
      <c r="AI69" s="326">
        <v>1200648.4768328764</v>
      </c>
      <c r="AK69" s="398"/>
    </row>
    <row r="70" spans="1:35" ht="12.75">
      <c r="A70" s="226" t="s">
        <v>10</v>
      </c>
      <c r="B70" s="327"/>
      <c r="C70" s="328"/>
      <c r="D70" s="327"/>
      <c r="E70" s="328"/>
      <c r="F70" s="370">
        <v>0</v>
      </c>
      <c r="G70" s="371">
        <v>38459.76</v>
      </c>
      <c r="H70" s="370">
        <v>127848.84</v>
      </c>
      <c r="I70" s="371">
        <v>34822.2</v>
      </c>
      <c r="J70" s="370">
        <v>127848.86</v>
      </c>
      <c r="K70" s="371">
        <v>27151.25</v>
      </c>
      <c r="L70" s="329">
        <v>127848.9</v>
      </c>
      <c r="M70" s="330">
        <v>19480.32</v>
      </c>
      <c r="N70" s="329">
        <v>117194.83</v>
      </c>
      <c r="O70" s="330">
        <v>11103.58</v>
      </c>
      <c r="P70" s="372"/>
      <c r="Q70" s="373"/>
      <c r="R70" s="372"/>
      <c r="S70" s="373"/>
      <c r="T70" s="372"/>
      <c r="U70" s="373"/>
      <c r="V70" s="372"/>
      <c r="W70" s="373"/>
      <c r="X70" s="372"/>
      <c r="Y70" s="373"/>
      <c r="Z70" s="372"/>
      <c r="AA70" s="373"/>
      <c r="AB70" s="372"/>
      <c r="AC70" s="373"/>
      <c r="AD70" s="372"/>
      <c r="AE70" s="373"/>
      <c r="AF70" s="372"/>
      <c r="AG70" s="373"/>
      <c r="AH70" s="331">
        <v>500741.43</v>
      </c>
      <c r="AI70" s="332">
        <v>131017.11</v>
      </c>
    </row>
    <row r="71" spans="1:35" ht="12.75">
      <c r="A71" s="485" t="s">
        <v>22</v>
      </c>
      <c r="B71" s="327"/>
      <c r="C71" s="328"/>
      <c r="D71" s="327"/>
      <c r="E71" s="328"/>
      <c r="F71" s="327"/>
      <c r="G71" s="328"/>
      <c r="H71" s="327"/>
      <c r="I71" s="328"/>
      <c r="J71" s="327"/>
      <c r="K71" s="328"/>
      <c r="L71" s="327"/>
      <c r="M71" s="328"/>
      <c r="N71" s="329">
        <v>552888.6</v>
      </c>
      <c r="O71" s="330">
        <v>676651.45</v>
      </c>
      <c r="P71" s="372"/>
      <c r="Q71" s="373"/>
      <c r="R71" s="372"/>
      <c r="S71" s="373"/>
      <c r="T71" s="372"/>
      <c r="U71" s="373"/>
      <c r="V71" s="372"/>
      <c r="W71" s="373"/>
      <c r="X71" s="372"/>
      <c r="Y71" s="373"/>
      <c r="Z71" s="372"/>
      <c r="AA71" s="373"/>
      <c r="AB71" s="372"/>
      <c r="AC71" s="373"/>
      <c r="AD71" s="372"/>
      <c r="AE71" s="373"/>
      <c r="AF71" s="372"/>
      <c r="AG71" s="373"/>
      <c r="AH71" s="331">
        <v>552888.6</v>
      </c>
      <c r="AI71" s="332">
        <v>676651.45</v>
      </c>
    </row>
    <row r="72" spans="1:35" ht="12.75" customHeight="1" hidden="1">
      <c r="A72" s="485" t="s">
        <v>8</v>
      </c>
      <c r="B72" s="327"/>
      <c r="C72" s="328"/>
      <c r="D72" s="327"/>
      <c r="E72" s="328"/>
      <c r="F72" s="327"/>
      <c r="G72" s="328"/>
      <c r="H72" s="327"/>
      <c r="I72" s="328"/>
      <c r="J72" s="327"/>
      <c r="K72" s="328"/>
      <c r="L72" s="327"/>
      <c r="M72" s="328"/>
      <c r="N72" s="329">
        <v>0</v>
      </c>
      <c r="O72" s="330">
        <v>0</v>
      </c>
      <c r="P72" s="372"/>
      <c r="Q72" s="373"/>
      <c r="R72" s="372"/>
      <c r="S72" s="373"/>
      <c r="T72" s="372"/>
      <c r="U72" s="373"/>
      <c r="V72" s="372"/>
      <c r="W72" s="373"/>
      <c r="X72" s="372"/>
      <c r="Y72" s="373"/>
      <c r="Z72" s="372"/>
      <c r="AA72" s="373"/>
      <c r="AB72" s="372"/>
      <c r="AC72" s="373"/>
      <c r="AD72" s="372"/>
      <c r="AE72" s="373"/>
      <c r="AF72" s="372"/>
      <c r="AG72" s="373"/>
      <c r="AH72" s="331">
        <v>0</v>
      </c>
      <c r="AI72" s="332">
        <v>0</v>
      </c>
    </row>
    <row r="73" spans="1:35" ht="12.75" customHeight="1" hidden="1">
      <c r="A73" s="486" t="s">
        <v>11</v>
      </c>
      <c r="B73" s="408"/>
      <c r="C73" s="409"/>
      <c r="D73" s="408"/>
      <c r="E73" s="409"/>
      <c r="F73" s="408"/>
      <c r="G73" s="409"/>
      <c r="H73" s="408"/>
      <c r="I73" s="409"/>
      <c r="J73" s="408"/>
      <c r="K73" s="409"/>
      <c r="L73" s="408"/>
      <c r="M73" s="409"/>
      <c r="N73" s="404">
        <v>0</v>
      </c>
      <c r="O73" s="405">
        <v>0</v>
      </c>
      <c r="P73" s="418"/>
      <c r="Q73" s="419"/>
      <c r="R73" s="418"/>
      <c r="S73" s="419"/>
      <c r="T73" s="418"/>
      <c r="U73" s="419"/>
      <c r="V73" s="418"/>
      <c r="W73" s="419"/>
      <c r="X73" s="418"/>
      <c r="Y73" s="419"/>
      <c r="Z73" s="418"/>
      <c r="AA73" s="419"/>
      <c r="AB73" s="418"/>
      <c r="AC73" s="419"/>
      <c r="AD73" s="418"/>
      <c r="AE73" s="419"/>
      <c r="AF73" s="418"/>
      <c r="AG73" s="419"/>
      <c r="AH73" s="406">
        <v>0</v>
      </c>
      <c r="AI73" s="407">
        <v>0</v>
      </c>
    </row>
    <row r="74" spans="1:35" ht="12.75">
      <c r="A74" s="134" t="s">
        <v>179</v>
      </c>
      <c r="B74" s="366">
        <v>0</v>
      </c>
      <c r="C74" s="367">
        <v>0</v>
      </c>
      <c r="D74" s="366">
        <v>0</v>
      </c>
      <c r="E74" s="367">
        <v>0</v>
      </c>
      <c r="F74" s="366">
        <v>0</v>
      </c>
      <c r="G74" s="367">
        <v>0</v>
      </c>
      <c r="H74" s="366">
        <v>278.44154</v>
      </c>
      <c r="I74" s="367">
        <v>1090.2763399999994</v>
      </c>
      <c r="J74" s="366">
        <v>362790.02</v>
      </c>
      <c r="K74" s="367">
        <v>429016.53</v>
      </c>
      <c r="L74" s="366">
        <v>786836.04</v>
      </c>
      <c r="M74" s="367">
        <v>1741672.1247945207</v>
      </c>
      <c r="N74" s="366">
        <v>2308742.5</v>
      </c>
      <c r="O74" s="367">
        <v>2665662.455068493</v>
      </c>
      <c r="P74" s="366">
        <v>0</v>
      </c>
      <c r="Q74" s="367">
        <v>0</v>
      </c>
      <c r="R74" s="366">
        <v>0</v>
      </c>
      <c r="S74" s="367">
        <v>0</v>
      </c>
      <c r="T74" s="366">
        <v>0</v>
      </c>
      <c r="U74" s="367">
        <v>0</v>
      </c>
      <c r="V74" s="366">
        <v>0</v>
      </c>
      <c r="W74" s="367">
        <v>0</v>
      </c>
      <c r="X74" s="366">
        <v>0</v>
      </c>
      <c r="Y74" s="367">
        <v>0</v>
      </c>
      <c r="Z74" s="366">
        <v>0</v>
      </c>
      <c r="AA74" s="367">
        <v>0</v>
      </c>
      <c r="AB74" s="366">
        <v>0</v>
      </c>
      <c r="AC74" s="367">
        <v>0</v>
      </c>
      <c r="AD74" s="366">
        <v>0</v>
      </c>
      <c r="AE74" s="367">
        <v>0</v>
      </c>
      <c r="AF74" s="366">
        <v>0</v>
      </c>
      <c r="AG74" s="367">
        <v>0</v>
      </c>
      <c r="AH74" s="366">
        <v>3458647.00154</v>
      </c>
      <c r="AI74" s="367">
        <v>4837441.386203013</v>
      </c>
    </row>
    <row r="75" spans="1:35" ht="12.75">
      <c r="A75" s="432" t="s">
        <v>203</v>
      </c>
      <c r="B75" s="342"/>
      <c r="C75" s="343"/>
      <c r="D75" s="342"/>
      <c r="E75" s="343"/>
      <c r="F75" s="342"/>
      <c r="G75" s="343"/>
      <c r="H75" s="342"/>
      <c r="I75" s="343"/>
      <c r="J75" s="342"/>
      <c r="K75" s="343"/>
      <c r="L75" s="322">
        <v>0</v>
      </c>
      <c r="M75" s="324">
        <v>822186.3</v>
      </c>
      <c r="N75" s="386">
        <v>1261350.88</v>
      </c>
      <c r="O75" s="387">
        <v>1664813.7</v>
      </c>
      <c r="P75" s="414"/>
      <c r="Q75" s="415"/>
      <c r="R75" s="414"/>
      <c r="S75" s="415"/>
      <c r="T75" s="414"/>
      <c r="U75" s="415"/>
      <c r="V75" s="414"/>
      <c r="W75" s="415"/>
      <c r="X75" s="414"/>
      <c r="Y75" s="415"/>
      <c r="Z75" s="414"/>
      <c r="AA75" s="415"/>
      <c r="AB75" s="414"/>
      <c r="AC75" s="415"/>
      <c r="AD75" s="414"/>
      <c r="AE75" s="415"/>
      <c r="AF75" s="414"/>
      <c r="AG75" s="415"/>
      <c r="AH75" s="325">
        <v>1261350.88</v>
      </c>
      <c r="AI75" s="326">
        <v>2487000</v>
      </c>
    </row>
    <row r="76" spans="1:35" ht="12.75">
      <c r="A76" s="388" t="s">
        <v>205</v>
      </c>
      <c r="B76" s="327"/>
      <c r="C76" s="328"/>
      <c r="D76" s="327"/>
      <c r="E76" s="328"/>
      <c r="F76" s="327"/>
      <c r="G76" s="328"/>
      <c r="H76" s="327"/>
      <c r="I76" s="328"/>
      <c r="J76" s="370">
        <v>0</v>
      </c>
      <c r="K76" s="371">
        <v>0</v>
      </c>
      <c r="L76" s="329">
        <v>271981.82</v>
      </c>
      <c r="M76" s="330">
        <v>312649.45</v>
      </c>
      <c r="N76" s="329">
        <v>373541.22</v>
      </c>
      <c r="O76" s="330">
        <v>251723.18</v>
      </c>
      <c r="P76" s="391"/>
      <c r="Q76" s="392"/>
      <c r="R76" s="391"/>
      <c r="S76" s="392"/>
      <c r="T76" s="391"/>
      <c r="U76" s="392"/>
      <c r="V76" s="391"/>
      <c r="W76" s="392"/>
      <c r="X76" s="391"/>
      <c r="Y76" s="392"/>
      <c r="Z76" s="391"/>
      <c r="AA76" s="392"/>
      <c r="AB76" s="391"/>
      <c r="AC76" s="392"/>
      <c r="AD76" s="391"/>
      <c r="AE76" s="392"/>
      <c r="AF76" s="391"/>
      <c r="AG76" s="392"/>
      <c r="AH76" s="331">
        <v>645523.04</v>
      </c>
      <c r="AI76" s="332">
        <v>564372.63</v>
      </c>
    </row>
    <row r="77" spans="1:35" ht="12.75">
      <c r="A77" s="388" t="s">
        <v>202</v>
      </c>
      <c r="B77" s="436"/>
      <c r="C77" s="437"/>
      <c r="D77" s="436"/>
      <c r="E77" s="437"/>
      <c r="F77" s="436"/>
      <c r="G77" s="437"/>
      <c r="H77" s="352">
        <v>278.44154</v>
      </c>
      <c r="I77" s="353">
        <v>1090.2763399999994</v>
      </c>
      <c r="J77" s="352">
        <v>362790.02</v>
      </c>
      <c r="K77" s="353">
        <v>429016.53</v>
      </c>
      <c r="L77" s="329">
        <v>396822.22</v>
      </c>
      <c r="M77" s="330">
        <v>394984.32</v>
      </c>
      <c r="N77" s="329">
        <v>396371.4</v>
      </c>
      <c r="O77" s="330">
        <v>329451.26</v>
      </c>
      <c r="P77" s="370"/>
      <c r="Q77" s="371"/>
      <c r="R77" s="370"/>
      <c r="S77" s="371"/>
      <c r="T77" s="370"/>
      <c r="U77" s="371"/>
      <c r="V77" s="370"/>
      <c r="W77" s="371"/>
      <c r="X77" s="372"/>
      <c r="Y77" s="373"/>
      <c r="Z77" s="372"/>
      <c r="AA77" s="373"/>
      <c r="AB77" s="372"/>
      <c r="AC77" s="373"/>
      <c r="AD77" s="372"/>
      <c r="AE77" s="373"/>
      <c r="AF77" s="372"/>
      <c r="AG77" s="373"/>
      <c r="AH77" s="331">
        <v>1156262.0815400002</v>
      </c>
      <c r="AI77" s="332">
        <v>1154542.38634</v>
      </c>
    </row>
    <row r="78" spans="1:35" ht="12.75">
      <c r="A78" s="388" t="s">
        <v>212</v>
      </c>
      <c r="B78" s="436"/>
      <c r="C78" s="437"/>
      <c r="D78" s="436"/>
      <c r="E78" s="437"/>
      <c r="F78" s="436"/>
      <c r="G78" s="437"/>
      <c r="H78" s="436"/>
      <c r="I78" s="437"/>
      <c r="J78" s="436"/>
      <c r="K78" s="437"/>
      <c r="L78" s="329">
        <v>0</v>
      </c>
      <c r="M78" s="330">
        <v>211852.05479452055</v>
      </c>
      <c r="N78" s="329">
        <v>169283</v>
      </c>
      <c r="O78" s="330">
        <v>419674.31506849313</v>
      </c>
      <c r="P78" s="370"/>
      <c r="Q78" s="371"/>
      <c r="R78" s="370"/>
      <c r="S78" s="371"/>
      <c r="T78" s="370"/>
      <c r="U78" s="371"/>
      <c r="V78" s="370"/>
      <c r="W78" s="371"/>
      <c r="X78" s="372"/>
      <c r="Y78" s="373"/>
      <c r="Z78" s="372"/>
      <c r="AA78" s="373"/>
      <c r="AB78" s="372"/>
      <c r="AC78" s="373"/>
      <c r="AD78" s="372"/>
      <c r="AE78" s="373"/>
      <c r="AF78" s="372"/>
      <c r="AG78" s="373"/>
      <c r="AH78" s="331">
        <v>169283</v>
      </c>
      <c r="AI78" s="332">
        <v>631526.3698630137</v>
      </c>
    </row>
    <row r="79" spans="1:35" ht="13.5" thickBot="1">
      <c r="A79" s="433" t="s">
        <v>201</v>
      </c>
      <c r="B79" s="420"/>
      <c r="C79" s="421"/>
      <c r="D79" s="420"/>
      <c r="E79" s="421"/>
      <c r="F79" s="420"/>
      <c r="G79" s="421"/>
      <c r="H79" s="420"/>
      <c r="I79" s="421"/>
      <c r="J79" s="422"/>
      <c r="K79" s="423"/>
      <c r="L79" s="424">
        <v>118032</v>
      </c>
      <c r="M79" s="425">
        <v>0</v>
      </c>
      <c r="N79" s="569">
        <v>108196</v>
      </c>
      <c r="O79" s="570">
        <v>0</v>
      </c>
      <c r="P79" s="422"/>
      <c r="Q79" s="423"/>
      <c r="R79" s="422"/>
      <c r="S79" s="423"/>
      <c r="T79" s="422"/>
      <c r="U79" s="423"/>
      <c r="V79" s="422"/>
      <c r="W79" s="423"/>
      <c r="X79" s="426"/>
      <c r="Y79" s="427"/>
      <c r="Z79" s="426"/>
      <c r="AA79" s="427"/>
      <c r="AB79" s="426"/>
      <c r="AC79" s="427"/>
      <c r="AD79" s="426"/>
      <c r="AE79" s="427"/>
      <c r="AF79" s="426"/>
      <c r="AG79" s="427"/>
      <c r="AH79" s="428">
        <v>226228</v>
      </c>
      <c r="AI79" s="429">
        <v>0</v>
      </c>
    </row>
    <row r="80" spans="1:35" ht="13.5" thickBot="1">
      <c r="A80" s="154" t="s">
        <v>121</v>
      </c>
      <c r="B80" s="374">
        <v>1629826.14</v>
      </c>
      <c r="C80" s="375">
        <v>920727.808</v>
      </c>
      <c r="D80" s="374">
        <v>2926616.71</v>
      </c>
      <c r="E80" s="375">
        <v>1622233.4679999999</v>
      </c>
      <c r="F80" s="374">
        <v>4488756.7</v>
      </c>
      <c r="G80" s="375">
        <v>2777381.6408225643</v>
      </c>
      <c r="H80" s="374">
        <v>5292581.91154</v>
      </c>
      <c r="I80" s="375">
        <v>5095480.594640437</v>
      </c>
      <c r="J80" s="374">
        <v>15605560.179999998</v>
      </c>
      <c r="K80" s="375">
        <v>8031697.64508769</v>
      </c>
      <c r="L80" s="374">
        <v>21697697.525515098</v>
      </c>
      <c r="M80" s="375">
        <v>10254465.303835616</v>
      </c>
      <c r="N80" s="374">
        <v>27630249.679999996</v>
      </c>
      <c r="O80" s="375">
        <v>12471138.429178083</v>
      </c>
      <c r="P80" s="374">
        <v>0</v>
      </c>
      <c r="Q80" s="375">
        <v>0</v>
      </c>
      <c r="R80" s="374">
        <v>0</v>
      </c>
      <c r="S80" s="375">
        <v>0</v>
      </c>
      <c r="T80" s="374">
        <v>0</v>
      </c>
      <c r="U80" s="375">
        <v>0</v>
      </c>
      <c r="V80" s="374">
        <v>0</v>
      </c>
      <c r="W80" s="375">
        <v>0</v>
      </c>
      <c r="X80" s="374">
        <v>0</v>
      </c>
      <c r="Y80" s="375">
        <v>0</v>
      </c>
      <c r="Z80" s="374">
        <v>0</v>
      </c>
      <c r="AA80" s="375">
        <v>0</v>
      </c>
      <c r="AB80" s="374">
        <v>0</v>
      </c>
      <c r="AC80" s="375">
        <v>0</v>
      </c>
      <c r="AD80" s="374">
        <v>0</v>
      </c>
      <c r="AE80" s="375">
        <v>0</v>
      </c>
      <c r="AF80" s="374">
        <v>0</v>
      </c>
      <c r="AG80" s="375">
        <v>0</v>
      </c>
      <c r="AH80" s="374">
        <v>79271288.84705509</v>
      </c>
      <c r="AI80" s="375">
        <v>41173124.88956439</v>
      </c>
    </row>
    <row r="81" spans="2:35" ht="12.75" thickBot="1"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</row>
    <row r="82" spans="1:35" ht="13.5" thickBot="1">
      <c r="A82" s="154" t="s">
        <v>121</v>
      </c>
      <c r="B82" s="374">
        <v>2380873.56</v>
      </c>
      <c r="C82" s="375">
        <v>2017610.698</v>
      </c>
      <c r="D82" s="374">
        <v>3436165.49</v>
      </c>
      <c r="E82" s="375">
        <v>2740008.928</v>
      </c>
      <c r="F82" s="374">
        <v>8488627.22</v>
      </c>
      <c r="G82" s="375">
        <v>4261877.300822564</v>
      </c>
      <c r="H82" s="374">
        <v>11873424.85154</v>
      </c>
      <c r="I82" s="375">
        <v>6697150.894640436</v>
      </c>
      <c r="J82" s="374">
        <v>22507934.209999997</v>
      </c>
      <c r="K82" s="375">
        <v>9541503.20508769</v>
      </c>
      <c r="L82" s="374">
        <v>28815384.954205293</v>
      </c>
      <c r="M82" s="375">
        <v>11667060.113835616</v>
      </c>
      <c r="N82" s="374">
        <v>35175196.15869019</v>
      </c>
      <c r="O82" s="375">
        <v>13780189.219178084</v>
      </c>
      <c r="P82" s="374">
        <v>0</v>
      </c>
      <c r="Q82" s="375">
        <v>0</v>
      </c>
      <c r="R82" s="374">
        <v>0</v>
      </c>
      <c r="S82" s="375">
        <v>0</v>
      </c>
      <c r="T82" s="374">
        <v>0</v>
      </c>
      <c r="U82" s="375">
        <v>0</v>
      </c>
      <c r="V82" s="374">
        <v>0</v>
      </c>
      <c r="W82" s="375">
        <v>0</v>
      </c>
      <c r="X82" s="374">
        <v>0</v>
      </c>
      <c r="Y82" s="375">
        <v>0</v>
      </c>
      <c r="Z82" s="374">
        <v>0</v>
      </c>
      <c r="AA82" s="375">
        <v>0</v>
      </c>
      <c r="AB82" s="374">
        <v>0</v>
      </c>
      <c r="AC82" s="375">
        <v>0</v>
      </c>
      <c r="AD82" s="374">
        <v>0</v>
      </c>
      <c r="AE82" s="375">
        <v>0</v>
      </c>
      <c r="AF82" s="374">
        <v>0</v>
      </c>
      <c r="AG82" s="375">
        <v>0</v>
      </c>
      <c r="AH82" s="374">
        <v>112677606.44443548</v>
      </c>
      <c r="AI82" s="375">
        <v>50705400.35956439</v>
      </c>
    </row>
    <row r="83" spans="1:35" ht="13.5" customHeight="1" thickBot="1">
      <c r="A83" s="154" t="s">
        <v>174</v>
      </c>
      <c r="B83" s="758">
        <v>4398484.258</v>
      </c>
      <c r="C83" s="741"/>
      <c r="D83" s="758">
        <v>6176174.418</v>
      </c>
      <c r="E83" s="741"/>
      <c r="F83" s="758">
        <v>12750504.520822566</v>
      </c>
      <c r="G83" s="741"/>
      <c r="H83" s="758">
        <v>18570575.746180438</v>
      </c>
      <c r="I83" s="741"/>
      <c r="J83" s="758">
        <v>32049437.415087685</v>
      </c>
      <c r="K83" s="741"/>
      <c r="L83" s="758">
        <v>40482445.06804091</v>
      </c>
      <c r="M83" s="741"/>
      <c r="N83" s="758">
        <v>48955385.37786828</v>
      </c>
      <c r="O83" s="741"/>
      <c r="P83" s="374">
        <v>0</v>
      </c>
      <c r="Q83" s="375">
        <v>0</v>
      </c>
      <c r="R83" s="374">
        <v>0</v>
      </c>
      <c r="S83" s="375">
        <v>0</v>
      </c>
      <c r="T83" s="374">
        <v>0</v>
      </c>
      <c r="U83" s="375">
        <v>0</v>
      </c>
      <c r="V83" s="374">
        <v>0</v>
      </c>
      <c r="W83" s="375">
        <v>0</v>
      </c>
      <c r="X83" s="374">
        <v>0</v>
      </c>
      <c r="Y83" s="375">
        <v>0</v>
      </c>
      <c r="Z83" s="374">
        <v>0</v>
      </c>
      <c r="AA83" s="375">
        <v>0</v>
      </c>
      <c r="AB83" s="374">
        <v>0</v>
      </c>
      <c r="AC83" s="375">
        <v>0</v>
      </c>
      <c r="AD83" s="374">
        <v>0</v>
      </c>
      <c r="AE83" s="375">
        <v>0</v>
      </c>
      <c r="AF83" s="374">
        <v>0</v>
      </c>
      <c r="AG83" s="375">
        <v>0</v>
      </c>
      <c r="AH83" s="758">
        <v>163383006.80399987</v>
      </c>
      <c r="AI83" s="741"/>
    </row>
    <row r="85" spans="10:15" ht="12">
      <c r="J85" s="41"/>
      <c r="K85" s="41"/>
      <c r="N85" s="667"/>
      <c r="O85" s="667"/>
    </row>
    <row r="86" spans="14:15" ht="12">
      <c r="N86" s="667">
        <f>N82-'PAGOS MENSUALES'!AB78</f>
        <v>0</v>
      </c>
      <c r="O86" s="667"/>
    </row>
  </sheetData>
  <sheetProtection/>
  <mergeCells count="28">
    <mergeCell ref="B6:M6"/>
    <mergeCell ref="N6:O6"/>
    <mergeCell ref="N83:O83"/>
    <mergeCell ref="J83:K83"/>
    <mergeCell ref="B83:C83"/>
    <mergeCell ref="D83:E83"/>
    <mergeCell ref="F83:G83"/>
    <mergeCell ref="H83:I83"/>
    <mergeCell ref="L83:M83"/>
    <mergeCell ref="D7:E7"/>
    <mergeCell ref="F7:G7"/>
    <mergeCell ref="B7:C7"/>
    <mergeCell ref="H7:I7"/>
    <mergeCell ref="AH7:AI7"/>
    <mergeCell ref="P7:Q7"/>
    <mergeCell ref="R7:S7"/>
    <mergeCell ref="T7:U7"/>
    <mergeCell ref="V7:W7"/>
    <mergeCell ref="AH83:AI83"/>
    <mergeCell ref="A7:A9"/>
    <mergeCell ref="Z7:AA7"/>
    <mergeCell ref="AD7:AE7"/>
    <mergeCell ref="AB7:AC7"/>
    <mergeCell ref="X7:Y7"/>
    <mergeCell ref="J7:K7"/>
    <mergeCell ref="L7:M7"/>
    <mergeCell ref="N7:O7"/>
    <mergeCell ref="AF7:AG7"/>
  </mergeCells>
  <printOptions horizontalCentered="1"/>
  <pageMargins left="0" right="0" top="0" bottom="0" header="0" footer="0.3937007874015748"/>
  <pageSetup firstPageNumber="9" useFirstPageNumber="1" horizontalDpi="600" verticalDpi="600" orientation="portrait" paperSize="9" scale="65" r:id="rId2"/>
  <headerFooter alignWithMargins="0">
    <oddFooter>&amp;CPágina Nº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I80"/>
  <sheetViews>
    <sheetView showGridLines="0" showZeros="0" zoomScalePageLayoutView="0" workbookViewId="0" topLeftCell="A1">
      <selection activeCell="G71" sqref="G71"/>
    </sheetView>
  </sheetViews>
  <sheetFormatPr defaultColWidth="11.421875" defaultRowHeight="12.75"/>
  <cols>
    <col min="1" max="1" width="26.00390625" style="1" customWidth="1"/>
    <col min="2" max="2" width="13.28125" style="1" bestFit="1" customWidth="1"/>
    <col min="3" max="3" width="12.57421875" style="1" customWidth="1"/>
    <col min="4" max="5" width="13.28125" style="1" bestFit="1" customWidth="1"/>
    <col min="6" max="6" width="12.00390625" style="1" bestFit="1" customWidth="1"/>
    <col min="7" max="7" width="13.28125" style="1" bestFit="1" customWidth="1"/>
    <col min="8" max="8" width="6.00390625" style="1" customWidth="1"/>
    <col min="9" max="16384" width="11.421875" style="1" customWidth="1"/>
  </cols>
  <sheetData>
    <row r="1" spans="1:8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46" t="s">
        <v>88</v>
      </c>
    </row>
    <row r="2" ht="18" customHeight="1">
      <c r="D2" s="24" t="s">
        <v>267</v>
      </c>
    </row>
    <row r="3" ht="18" customHeight="1">
      <c r="D3" s="24" t="s">
        <v>268</v>
      </c>
    </row>
    <row r="4" spans="1:8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46" t="s">
        <v>85</v>
      </c>
    </row>
    <row r="5" ht="12.75"/>
    <row r="6" ht="42" customHeight="1" thickBot="1"/>
    <row r="7" spans="1:7" s="55" customFormat="1" ht="13.5" thickBot="1">
      <c r="A7" s="740" t="s">
        <v>97</v>
      </c>
      <c r="B7" s="756">
        <v>2012</v>
      </c>
      <c r="C7" s="764"/>
      <c r="D7" s="757"/>
      <c r="E7" s="756">
        <v>2013</v>
      </c>
      <c r="F7" s="764"/>
      <c r="G7" s="757"/>
    </row>
    <row r="8" spans="1:7" s="55" customFormat="1" ht="12.75">
      <c r="A8" s="759"/>
      <c r="B8" s="62" t="s">
        <v>102</v>
      </c>
      <c r="C8" s="61" t="s">
        <v>78</v>
      </c>
      <c r="D8" s="765" t="s">
        <v>151</v>
      </c>
      <c r="E8" s="62" t="s">
        <v>102</v>
      </c>
      <c r="F8" s="61" t="s">
        <v>78</v>
      </c>
      <c r="G8" s="765" t="s">
        <v>151</v>
      </c>
    </row>
    <row r="9" spans="1:7" s="55" customFormat="1" ht="13.5" thickBot="1">
      <c r="A9" s="760"/>
      <c r="B9" s="57" t="s">
        <v>1</v>
      </c>
      <c r="C9" s="56" t="s">
        <v>106</v>
      </c>
      <c r="D9" s="766"/>
      <c r="E9" s="57" t="s">
        <v>1</v>
      </c>
      <c r="F9" s="56" t="s">
        <v>106</v>
      </c>
      <c r="G9" s="766"/>
    </row>
    <row r="10" ht="12.75" thickBot="1"/>
    <row r="11" spans="1:9" ht="19.5" customHeight="1" thickBot="1">
      <c r="A11" s="768" t="s">
        <v>259</v>
      </c>
      <c r="B11" s="769"/>
      <c r="C11" s="769"/>
      <c r="D11" s="769"/>
      <c r="E11" s="769"/>
      <c r="F11" s="769"/>
      <c r="G11" s="770"/>
      <c r="I11" s="1"/>
    </row>
    <row r="12" spans="1:9" ht="12.75">
      <c r="A12" s="518" t="s">
        <v>1</v>
      </c>
      <c r="B12" s="561">
        <v>5196418.54</v>
      </c>
      <c r="C12" s="513">
        <v>963766.19</v>
      </c>
      <c r="D12" s="514">
        <v>6160184.73</v>
      </c>
      <c r="E12" s="512">
        <v>3398478.44</v>
      </c>
      <c r="F12" s="513">
        <v>401316.86</v>
      </c>
      <c r="G12" s="514">
        <v>3799795.3</v>
      </c>
      <c r="I12" s="1"/>
    </row>
    <row r="13" spans="1:9" ht="12.75">
      <c r="A13" s="519" t="s">
        <v>21</v>
      </c>
      <c r="B13" s="329">
        <v>1416635.76</v>
      </c>
      <c r="C13" s="503">
        <v>349867.65</v>
      </c>
      <c r="D13" s="504">
        <v>1766503.41</v>
      </c>
      <c r="E13" s="329">
        <v>1596349.98</v>
      </c>
      <c r="F13" s="503">
        <v>231290.78</v>
      </c>
      <c r="G13" s="504">
        <v>1827640.76</v>
      </c>
      <c r="I13" s="1"/>
    </row>
    <row r="14" spans="1:9" ht="12.75">
      <c r="A14" s="519" t="s">
        <v>22</v>
      </c>
      <c r="B14" s="329">
        <v>1714345.68</v>
      </c>
      <c r="C14" s="503">
        <v>980489.4</v>
      </c>
      <c r="D14" s="504">
        <v>2694835.08</v>
      </c>
      <c r="E14" s="329">
        <v>1855350.64</v>
      </c>
      <c r="F14" s="503">
        <v>897425.85</v>
      </c>
      <c r="G14" s="504">
        <v>2752776.49</v>
      </c>
      <c r="I14" s="1"/>
    </row>
    <row r="15" spans="1:9" ht="12.75">
      <c r="A15" s="519" t="s">
        <v>126</v>
      </c>
      <c r="B15" s="329">
        <v>4082278.79</v>
      </c>
      <c r="C15" s="503">
        <v>864956.05</v>
      </c>
      <c r="D15" s="504">
        <v>4947234.84</v>
      </c>
      <c r="E15" s="329">
        <v>4514791.11</v>
      </c>
      <c r="F15" s="503">
        <v>598411.35</v>
      </c>
      <c r="G15" s="504">
        <v>5113202.46</v>
      </c>
      <c r="I15" s="1"/>
    </row>
    <row r="16" spans="1:9" ht="12.75">
      <c r="A16" s="519" t="s">
        <v>127</v>
      </c>
      <c r="B16" s="329">
        <v>388252.15</v>
      </c>
      <c r="C16" s="503">
        <v>93663.76</v>
      </c>
      <c r="D16" s="504">
        <v>481915.91</v>
      </c>
      <c r="E16" s="329">
        <v>437508.51</v>
      </c>
      <c r="F16" s="503">
        <v>64548.03</v>
      </c>
      <c r="G16" s="504">
        <v>502056.54</v>
      </c>
      <c r="I16" s="1"/>
    </row>
    <row r="17" spans="1:9" ht="12.75">
      <c r="A17" s="519" t="s">
        <v>14</v>
      </c>
      <c r="B17" s="329">
        <v>364968.14</v>
      </c>
      <c r="C17" s="503">
        <v>91894.72</v>
      </c>
      <c r="D17" s="504">
        <v>456862.86</v>
      </c>
      <c r="E17" s="329">
        <v>411265.8</v>
      </c>
      <c r="F17" s="503">
        <v>58670.74</v>
      </c>
      <c r="G17" s="504">
        <v>469936.54</v>
      </c>
      <c r="I17" s="1"/>
    </row>
    <row r="18" spans="1:9" s="42" customFormat="1" ht="12">
      <c r="A18" s="519" t="s">
        <v>13</v>
      </c>
      <c r="B18" s="329">
        <v>1749965.91</v>
      </c>
      <c r="C18" s="503">
        <v>449939.92</v>
      </c>
      <c r="D18" s="504">
        <v>2199905.83</v>
      </c>
      <c r="E18" s="329">
        <v>1971944.55</v>
      </c>
      <c r="F18" s="503">
        <v>276458.87</v>
      </c>
      <c r="G18" s="504">
        <v>2248403.42</v>
      </c>
      <c r="I18" s="1"/>
    </row>
    <row r="19" spans="1:9" ht="12.75">
      <c r="A19" s="519" t="s">
        <v>9</v>
      </c>
      <c r="B19" s="329">
        <v>452717.91</v>
      </c>
      <c r="C19" s="503">
        <v>124640.06</v>
      </c>
      <c r="D19" s="504">
        <v>577357.97</v>
      </c>
      <c r="E19" s="329">
        <v>510133.89</v>
      </c>
      <c r="F19" s="503">
        <v>67224.09</v>
      </c>
      <c r="G19" s="504">
        <v>577357.98</v>
      </c>
      <c r="I19" s="1"/>
    </row>
    <row r="20" spans="1:9" s="42" customFormat="1" ht="12.75">
      <c r="A20" s="519" t="s">
        <v>128</v>
      </c>
      <c r="B20" s="329">
        <v>2613886.61</v>
      </c>
      <c r="C20" s="503">
        <v>579722.59</v>
      </c>
      <c r="D20" s="504">
        <v>3193609.2</v>
      </c>
      <c r="E20" s="329">
        <v>2924856.96</v>
      </c>
      <c r="F20" s="503">
        <v>402621.31</v>
      </c>
      <c r="G20" s="504">
        <v>3327478.27</v>
      </c>
      <c r="I20"/>
    </row>
    <row r="21" spans="1:7" ht="12.75">
      <c r="A21" s="519" t="s">
        <v>84</v>
      </c>
      <c r="B21" s="329">
        <v>1852506.17</v>
      </c>
      <c r="C21" s="503">
        <v>480308.62</v>
      </c>
      <c r="D21" s="504">
        <v>2332814.79</v>
      </c>
      <c r="E21" s="329">
        <v>2087486.85</v>
      </c>
      <c r="F21" s="503">
        <v>290570.46</v>
      </c>
      <c r="G21" s="504">
        <v>2378057.31</v>
      </c>
    </row>
    <row r="22" spans="1:7" ht="12.75">
      <c r="A22" s="519" t="s">
        <v>5</v>
      </c>
      <c r="B22" s="329">
        <v>1101605.88</v>
      </c>
      <c r="C22" s="503">
        <v>303288.68</v>
      </c>
      <c r="D22" s="504">
        <v>1404894.56</v>
      </c>
      <c r="E22" s="329">
        <v>1241317.06</v>
      </c>
      <c r="F22" s="503">
        <v>163577.48</v>
      </c>
      <c r="G22" s="504">
        <v>1404894.54</v>
      </c>
    </row>
    <row r="23" spans="1:7" ht="12.75">
      <c r="A23" s="519" t="s">
        <v>7</v>
      </c>
      <c r="B23" s="329">
        <v>1464510.228690193</v>
      </c>
      <c r="C23" s="503">
        <v>190936.74</v>
      </c>
      <c r="D23" s="504">
        <v>1655446.968690193</v>
      </c>
      <c r="E23" s="329">
        <v>642050.59</v>
      </c>
      <c r="F23" s="503">
        <v>84607.73</v>
      </c>
      <c r="G23" s="504">
        <v>726658.32</v>
      </c>
    </row>
    <row r="24" spans="1:7" ht="12.75">
      <c r="A24" s="519" t="s">
        <v>23</v>
      </c>
      <c r="B24" s="329">
        <v>0</v>
      </c>
      <c r="C24" s="503">
        <v>0</v>
      </c>
      <c r="D24" s="504">
        <v>0</v>
      </c>
      <c r="E24" s="329">
        <v>0</v>
      </c>
      <c r="F24" s="503">
        <v>0</v>
      </c>
      <c r="G24" s="504">
        <v>0</v>
      </c>
    </row>
    <row r="25" spans="1:7" ht="12.75">
      <c r="A25" s="519" t="s">
        <v>105</v>
      </c>
      <c r="B25" s="329">
        <v>1628905.46</v>
      </c>
      <c r="C25" s="503">
        <v>400941.02</v>
      </c>
      <c r="D25" s="504">
        <v>2029846.48</v>
      </c>
      <c r="E25" s="329">
        <v>1835549.89</v>
      </c>
      <c r="F25" s="503">
        <v>266651.96</v>
      </c>
      <c r="G25" s="504">
        <v>2102201.85</v>
      </c>
    </row>
    <row r="26" spans="1:7" ht="12.75">
      <c r="A26" s="519" t="s">
        <v>4</v>
      </c>
      <c r="B26" s="329">
        <v>1119317.16</v>
      </c>
      <c r="C26" s="503">
        <v>272533.39</v>
      </c>
      <c r="D26" s="504">
        <v>1391850.55</v>
      </c>
      <c r="E26" s="329">
        <v>1261318.38</v>
      </c>
      <c r="F26" s="503">
        <v>184784.3</v>
      </c>
      <c r="G26" s="504">
        <v>1446102.68</v>
      </c>
    </row>
    <row r="27" spans="1:7" ht="12.75">
      <c r="A27" s="519" t="s">
        <v>10</v>
      </c>
      <c r="B27" s="329">
        <v>835991.18</v>
      </c>
      <c r="C27" s="503">
        <v>203303.97</v>
      </c>
      <c r="D27" s="504">
        <v>1039295.15</v>
      </c>
      <c r="E27" s="329">
        <v>925868.92</v>
      </c>
      <c r="F27" s="503">
        <v>122301.25</v>
      </c>
      <c r="G27" s="504">
        <v>1048170.17</v>
      </c>
    </row>
    <row r="28" spans="1:7" ht="12.75">
      <c r="A28" s="519" t="s">
        <v>95</v>
      </c>
      <c r="B28" s="329">
        <v>2490243.16</v>
      </c>
      <c r="C28" s="503">
        <v>544445.43</v>
      </c>
      <c r="D28" s="504">
        <v>3034688.59</v>
      </c>
      <c r="E28" s="329">
        <v>2804955</v>
      </c>
      <c r="F28" s="503">
        <v>439750.76</v>
      </c>
      <c r="G28" s="504">
        <v>3244705.76</v>
      </c>
    </row>
    <row r="29" spans="1:7" ht="12.75">
      <c r="A29" s="520" t="s">
        <v>6</v>
      </c>
      <c r="B29" s="329">
        <v>373103.66</v>
      </c>
      <c r="C29" s="503">
        <v>70225.08</v>
      </c>
      <c r="D29" s="504">
        <v>443328.74</v>
      </c>
      <c r="E29" s="329">
        <v>405453.14</v>
      </c>
      <c r="F29" s="503">
        <v>37875.58</v>
      </c>
      <c r="G29" s="504">
        <v>443328.72</v>
      </c>
    </row>
    <row r="30" spans="1:7" ht="16.5" thickBot="1">
      <c r="A30" s="517" t="s">
        <v>260</v>
      </c>
      <c r="B30" s="510">
        <v>28845652.388690196</v>
      </c>
      <c r="C30" s="515">
        <v>6964923.27</v>
      </c>
      <c r="D30" s="511">
        <v>35810575.65869019</v>
      </c>
      <c r="E30" s="510">
        <v>28824679.71</v>
      </c>
      <c r="F30" s="515">
        <v>4588087.4</v>
      </c>
      <c r="G30" s="511">
        <v>33412767.109999992</v>
      </c>
    </row>
    <row r="31" spans="1:7" s="508" customFormat="1" ht="13.5" thickBot="1">
      <c r="A31" s="506"/>
      <c r="B31" s="507"/>
      <c r="C31" s="507"/>
      <c r="D31" s="507"/>
      <c r="E31" s="507"/>
      <c r="F31" s="507"/>
      <c r="G31" s="507"/>
    </row>
    <row r="32" spans="1:7" s="508" customFormat="1" ht="19.5" customHeight="1" thickBot="1">
      <c r="A32" s="768" t="s">
        <v>262</v>
      </c>
      <c r="B32" s="769"/>
      <c r="C32" s="769"/>
      <c r="D32" s="769"/>
      <c r="E32" s="769"/>
      <c r="F32" s="769"/>
      <c r="G32" s="770"/>
    </row>
    <row r="33" spans="1:7" s="508" customFormat="1" ht="12.75">
      <c r="A33" s="225" t="s">
        <v>1</v>
      </c>
      <c r="B33" s="561">
        <v>1261350.88</v>
      </c>
      <c r="C33" s="513">
        <v>1664813.7</v>
      </c>
      <c r="D33" s="514">
        <v>2926164.58</v>
      </c>
      <c r="E33" s="512">
        <v>2722149.12</v>
      </c>
      <c r="F33" s="513">
        <v>1458552.63</v>
      </c>
      <c r="G33" s="514">
        <v>4180701.75</v>
      </c>
    </row>
    <row r="34" spans="1:7" s="508" customFormat="1" ht="12.75">
      <c r="A34" s="226" t="s">
        <v>21</v>
      </c>
      <c r="B34" s="329"/>
      <c r="C34" s="503"/>
      <c r="D34" s="504">
        <v>0</v>
      </c>
      <c r="E34" s="329"/>
      <c r="F34" s="503"/>
      <c r="G34" s="504">
        <v>0</v>
      </c>
    </row>
    <row r="35" spans="1:7" s="508" customFormat="1" ht="12.75" customHeight="1">
      <c r="A35" s="226" t="s">
        <v>22</v>
      </c>
      <c r="B35" s="329">
        <v>1761680.31</v>
      </c>
      <c r="C35" s="503">
        <v>319044.93</v>
      </c>
      <c r="D35" s="504">
        <v>2080725.24</v>
      </c>
      <c r="E35" s="329">
        <v>992951.06</v>
      </c>
      <c r="F35" s="503">
        <v>47411.55</v>
      </c>
      <c r="G35" s="504">
        <v>1040362.61</v>
      </c>
    </row>
    <row r="36" spans="1:7" s="508" customFormat="1" ht="12.75">
      <c r="A36" s="226" t="s">
        <v>126</v>
      </c>
      <c r="B36" s="329">
        <v>397681.01</v>
      </c>
      <c r="C36" s="503">
        <v>1193464.56</v>
      </c>
      <c r="D36" s="504">
        <v>1591145.57</v>
      </c>
      <c r="E36" s="329">
        <v>1345543.49</v>
      </c>
      <c r="F36" s="503">
        <v>1260989.1</v>
      </c>
      <c r="G36" s="504">
        <v>2606532.59</v>
      </c>
    </row>
    <row r="37" spans="1:7" s="508" customFormat="1" ht="12.75">
      <c r="A37" s="226" t="s">
        <v>127</v>
      </c>
      <c r="B37" s="329"/>
      <c r="C37" s="503"/>
      <c r="D37" s="504">
        <v>0</v>
      </c>
      <c r="E37" s="329"/>
      <c r="F37" s="503"/>
      <c r="G37" s="504">
        <v>0</v>
      </c>
    </row>
    <row r="38" spans="1:7" s="508" customFormat="1" ht="12.75" customHeight="1">
      <c r="A38" s="226" t="s">
        <v>14</v>
      </c>
      <c r="B38" s="329"/>
      <c r="C38" s="503"/>
      <c r="D38" s="504">
        <v>0</v>
      </c>
      <c r="E38" s="329"/>
      <c r="F38" s="503"/>
      <c r="G38" s="504">
        <v>0</v>
      </c>
    </row>
    <row r="39" spans="1:7" s="508" customFormat="1" ht="12.75" customHeight="1">
      <c r="A39" s="226" t="s">
        <v>13</v>
      </c>
      <c r="B39" s="329"/>
      <c r="C39" s="503"/>
      <c r="D39" s="504">
        <v>0</v>
      </c>
      <c r="E39" s="329"/>
      <c r="F39" s="503"/>
      <c r="G39" s="504">
        <v>0</v>
      </c>
    </row>
    <row r="40" spans="1:7" s="508" customFormat="1" ht="12.75">
      <c r="A40" s="226" t="s">
        <v>9</v>
      </c>
      <c r="B40" s="329"/>
      <c r="C40" s="503"/>
      <c r="D40" s="504">
        <v>0</v>
      </c>
      <c r="E40" s="329"/>
      <c r="F40" s="503"/>
      <c r="G40" s="504">
        <v>0</v>
      </c>
    </row>
    <row r="41" spans="1:7" s="508" customFormat="1" ht="12.75" customHeight="1">
      <c r="A41" s="226" t="s">
        <v>128</v>
      </c>
      <c r="B41" s="329">
        <v>410201.65</v>
      </c>
      <c r="C41" s="503">
        <v>271904.97</v>
      </c>
      <c r="D41" s="504">
        <v>682106.62</v>
      </c>
      <c r="E41" s="329">
        <v>478876.27</v>
      </c>
      <c r="F41" s="503">
        <v>203230.32</v>
      </c>
      <c r="G41" s="504">
        <v>682106.59</v>
      </c>
    </row>
    <row r="42" spans="1:7" s="508" customFormat="1" ht="12.75" customHeight="1">
      <c r="A42" s="226" t="s">
        <v>84</v>
      </c>
      <c r="B42" s="329">
        <v>3578877.04</v>
      </c>
      <c r="C42" s="503">
        <v>1066387.63</v>
      </c>
      <c r="D42" s="504">
        <v>4645264.67</v>
      </c>
      <c r="E42" s="329">
        <v>3476646.33</v>
      </c>
      <c r="F42" s="503">
        <v>526375.38</v>
      </c>
      <c r="G42" s="504">
        <v>4003021.71</v>
      </c>
    </row>
    <row r="43" spans="1:7" s="508" customFormat="1" ht="12.75">
      <c r="A43" s="226" t="s">
        <v>5</v>
      </c>
      <c r="B43" s="329"/>
      <c r="C43" s="503"/>
      <c r="D43" s="504">
        <v>0</v>
      </c>
      <c r="E43" s="329"/>
      <c r="F43" s="503"/>
      <c r="G43" s="504">
        <v>0</v>
      </c>
    </row>
    <row r="44" spans="1:7" s="508" customFormat="1" ht="12.75">
      <c r="A44" s="226" t="s">
        <v>7</v>
      </c>
      <c r="B44" s="329"/>
      <c r="C44" s="503"/>
      <c r="D44" s="504">
        <v>0</v>
      </c>
      <c r="E44" s="329"/>
      <c r="F44" s="503"/>
      <c r="G44" s="504">
        <v>0</v>
      </c>
    </row>
    <row r="45" spans="1:7" s="508" customFormat="1" ht="12.75">
      <c r="A45" s="226" t="s">
        <v>23</v>
      </c>
      <c r="B45" s="329">
        <v>766872.98</v>
      </c>
      <c r="C45" s="503">
        <v>161221.72</v>
      </c>
      <c r="D45" s="504">
        <v>928094.7</v>
      </c>
      <c r="E45" s="329">
        <v>862726.27</v>
      </c>
      <c r="F45" s="503">
        <v>65368.41</v>
      </c>
      <c r="G45" s="504">
        <v>928094.68</v>
      </c>
    </row>
    <row r="46" spans="1:7" s="508" customFormat="1" ht="12.75">
      <c r="A46" s="226" t="s">
        <v>105</v>
      </c>
      <c r="B46" s="329">
        <v>1254923.71</v>
      </c>
      <c r="C46" s="503">
        <v>2144177.109178082</v>
      </c>
      <c r="D46" s="504">
        <v>3399100.819178082</v>
      </c>
      <c r="E46" s="329">
        <v>2483124.51</v>
      </c>
      <c r="F46" s="503">
        <v>1827686.51</v>
      </c>
      <c r="G46" s="504">
        <v>4310811.02</v>
      </c>
    </row>
    <row r="47" spans="1:7" s="508" customFormat="1" ht="12.75">
      <c r="A47" s="226" t="s">
        <v>4</v>
      </c>
      <c r="B47" s="329">
        <v>1337898.41</v>
      </c>
      <c r="C47" s="503">
        <v>560581.38</v>
      </c>
      <c r="D47" s="504">
        <v>1898479.79</v>
      </c>
      <c r="E47" s="329">
        <v>1568379.23</v>
      </c>
      <c r="F47" s="503">
        <v>330100.55</v>
      </c>
      <c r="G47" s="504">
        <v>1898479.78</v>
      </c>
    </row>
    <row r="48" spans="1:7" s="508" customFormat="1" ht="12.75">
      <c r="A48" s="226" t="s">
        <v>10</v>
      </c>
      <c r="B48" s="329">
        <v>952566.54</v>
      </c>
      <c r="C48" s="503">
        <v>692127.64</v>
      </c>
      <c r="D48" s="504">
        <v>1644694.18</v>
      </c>
      <c r="E48" s="329">
        <v>1107745.24</v>
      </c>
      <c r="F48" s="503">
        <v>536948.94</v>
      </c>
      <c r="G48" s="504">
        <v>1644694.18</v>
      </c>
    </row>
    <row r="49" spans="1:7" s="508" customFormat="1" ht="12.75">
      <c r="A49" s="226" t="s">
        <v>95</v>
      </c>
      <c r="B49" s="329"/>
      <c r="C49" s="503"/>
      <c r="D49" s="504">
        <v>0</v>
      </c>
      <c r="E49" s="329"/>
      <c r="F49" s="503"/>
      <c r="G49" s="504">
        <v>0</v>
      </c>
    </row>
    <row r="50" spans="1:7" s="508" customFormat="1" ht="12.75">
      <c r="A50" s="227" t="s">
        <v>6</v>
      </c>
      <c r="B50" s="329"/>
      <c r="C50" s="503"/>
      <c r="D50" s="504">
        <v>0</v>
      </c>
      <c r="E50" s="329"/>
      <c r="F50" s="503"/>
      <c r="G50" s="504">
        <v>0</v>
      </c>
    </row>
    <row r="51" spans="1:7" s="508" customFormat="1" ht="13.5" thickBot="1">
      <c r="A51" s="509" t="s">
        <v>260</v>
      </c>
      <c r="B51" s="510">
        <v>11722052.530000001</v>
      </c>
      <c r="C51" s="515">
        <v>8073723.639178081</v>
      </c>
      <c r="D51" s="511">
        <v>19795776.16917808</v>
      </c>
      <c r="E51" s="510">
        <v>15038141.52</v>
      </c>
      <c r="F51" s="515">
        <v>6256663.390000001</v>
      </c>
      <c r="G51" s="511">
        <v>21294804.91</v>
      </c>
    </row>
    <row r="52" spans="2:7" ht="12.75" thickBot="1">
      <c r="B52" s="376"/>
      <c r="C52" s="376"/>
      <c r="D52" s="376"/>
      <c r="E52" s="376"/>
      <c r="F52" s="376"/>
      <c r="G52" s="376"/>
    </row>
    <row r="53" spans="1:7" ht="19.5" customHeight="1" thickBot="1">
      <c r="A53" s="768" t="s">
        <v>264</v>
      </c>
      <c r="B53" s="769"/>
      <c r="C53" s="769"/>
      <c r="D53" s="769"/>
      <c r="E53" s="769"/>
      <c r="F53" s="769"/>
      <c r="G53" s="770"/>
    </row>
    <row r="54" spans="1:7" ht="12">
      <c r="A54" s="225" t="s">
        <v>1</v>
      </c>
      <c r="B54" s="512">
        <v>6457769.42</v>
      </c>
      <c r="C54" s="513">
        <v>2628579.89</v>
      </c>
      <c r="D54" s="514">
        <v>9086349.309999999</v>
      </c>
      <c r="E54" s="512">
        <v>6120627.5600000005</v>
      </c>
      <c r="F54" s="513">
        <v>1859869.49</v>
      </c>
      <c r="G54" s="514">
        <v>7980497.050000001</v>
      </c>
    </row>
    <row r="55" spans="1:7" ht="12">
      <c r="A55" s="226" t="s">
        <v>21</v>
      </c>
      <c r="B55" s="329">
        <v>1416635.76</v>
      </c>
      <c r="C55" s="503">
        <v>349867.65</v>
      </c>
      <c r="D55" s="504">
        <v>1766503.41</v>
      </c>
      <c r="E55" s="329">
        <v>1596349.98</v>
      </c>
      <c r="F55" s="503">
        <v>231290.78</v>
      </c>
      <c r="G55" s="504">
        <v>1827640.76</v>
      </c>
    </row>
    <row r="56" spans="1:7" ht="12">
      <c r="A56" s="226" t="s">
        <v>22</v>
      </c>
      <c r="B56" s="329">
        <v>3476025.99</v>
      </c>
      <c r="C56" s="503">
        <v>1299534.33</v>
      </c>
      <c r="D56" s="504">
        <v>4775560.32</v>
      </c>
      <c r="E56" s="329">
        <v>2848301.7</v>
      </c>
      <c r="F56" s="503">
        <v>944837.4</v>
      </c>
      <c r="G56" s="504">
        <v>3793139.1</v>
      </c>
    </row>
    <row r="57" spans="1:7" ht="12">
      <c r="A57" s="226" t="s">
        <v>126</v>
      </c>
      <c r="B57" s="329">
        <v>4479959.8</v>
      </c>
      <c r="C57" s="503">
        <v>2058420.61</v>
      </c>
      <c r="D57" s="504">
        <v>6538380.41</v>
      </c>
      <c r="E57" s="329">
        <v>5860334.600000001</v>
      </c>
      <c r="F57" s="503">
        <v>1859400.45</v>
      </c>
      <c r="G57" s="504">
        <v>7719735.050000001</v>
      </c>
    </row>
    <row r="58" spans="1:7" ht="12">
      <c r="A58" s="226" t="s">
        <v>127</v>
      </c>
      <c r="B58" s="329">
        <v>388252.15</v>
      </c>
      <c r="C58" s="503">
        <v>93663.76</v>
      </c>
      <c r="D58" s="504">
        <v>481915.91</v>
      </c>
      <c r="E58" s="329">
        <v>437508.51</v>
      </c>
      <c r="F58" s="503">
        <v>64548.03</v>
      </c>
      <c r="G58" s="504">
        <v>502056.54</v>
      </c>
    </row>
    <row r="59" spans="1:7" ht="12">
      <c r="A59" s="226" t="s">
        <v>14</v>
      </c>
      <c r="B59" s="329">
        <v>364968.14</v>
      </c>
      <c r="C59" s="503">
        <v>91894.72</v>
      </c>
      <c r="D59" s="504">
        <v>456862.86</v>
      </c>
      <c r="E59" s="329">
        <v>411265.8</v>
      </c>
      <c r="F59" s="503">
        <v>58670.74</v>
      </c>
      <c r="G59" s="504">
        <v>469936.54</v>
      </c>
    </row>
    <row r="60" spans="1:7" ht="12">
      <c r="A60" s="226" t="s">
        <v>13</v>
      </c>
      <c r="B60" s="329">
        <v>1749965.91</v>
      </c>
      <c r="C60" s="503">
        <v>449939.92</v>
      </c>
      <c r="D60" s="504">
        <v>2199905.83</v>
      </c>
      <c r="E60" s="329">
        <v>1971944.55</v>
      </c>
      <c r="F60" s="503">
        <v>276458.87</v>
      </c>
      <c r="G60" s="504">
        <v>2248403.42</v>
      </c>
    </row>
    <row r="61" spans="1:7" ht="12">
      <c r="A61" s="226" t="s">
        <v>9</v>
      </c>
      <c r="B61" s="329">
        <v>452717.91</v>
      </c>
      <c r="C61" s="503">
        <v>124640.06</v>
      </c>
      <c r="D61" s="504">
        <v>577357.97</v>
      </c>
      <c r="E61" s="329">
        <v>510133.89</v>
      </c>
      <c r="F61" s="503">
        <v>67224.09</v>
      </c>
      <c r="G61" s="504">
        <v>577357.98</v>
      </c>
    </row>
    <row r="62" spans="1:7" ht="12">
      <c r="A62" s="226" t="s">
        <v>128</v>
      </c>
      <c r="B62" s="329">
        <v>3024088.26</v>
      </c>
      <c r="C62" s="503">
        <v>851627.56</v>
      </c>
      <c r="D62" s="504">
        <v>3875715.82</v>
      </c>
      <c r="E62" s="329">
        <v>3403733.23</v>
      </c>
      <c r="F62" s="503">
        <v>605851.63</v>
      </c>
      <c r="G62" s="504">
        <v>4009584.86</v>
      </c>
    </row>
    <row r="63" spans="1:7" ht="12">
      <c r="A63" s="226" t="s">
        <v>84</v>
      </c>
      <c r="B63" s="329">
        <v>5431383.21</v>
      </c>
      <c r="C63" s="503">
        <v>1546696.25</v>
      </c>
      <c r="D63" s="504">
        <v>6978079.46</v>
      </c>
      <c r="E63" s="329">
        <v>5564133.18</v>
      </c>
      <c r="F63" s="503">
        <v>816945.84</v>
      </c>
      <c r="G63" s="504">
        <v>6381079.02</v>
      </c>
    </row>
    <row r="64" spans="1:7" ht="12">
      <c r="A64" s="226" t="s">
        <v>5</v>
      </c>
      <c r="B64" s="329">
        <v>1101605.88</v>
      </c>
      <c r="C64" s="503">
        <v>303288.68</v>
      </c>
      <c r="D64" s="504">
        <v>1404894.56</v>
      </c>
      <c r="E64" s="329">
        <v>1241317.06</v>
      </c>
      <c r="F64" s="503">
        <v>163577.48</v>
      </c>
      <c r="G64" s="504">
        <v>1404894.54</v>
      </c>
    </row>
    <row r="65" spans="1:7" ht="12">
      <c r="A65" s="226" t="s">
        <v>7</v>
      </c>
      <c r="B65" s="329">
        <v>1464510.228690193</v>
      </c>
      <c r="C65" s="503">
        <v>190936.74</v>
      </c>
      <c r="D65" s="504">
        <v>1655446.968690193</v>
      </c>
      <c r="E65" s="329">
        <v>642050.59</v>
      </c>
      <c r="F65" s="503">
        <v>84607.73</v>
      </c>
      <c r="G65" s="504">
        <v>726658.32</v>
      </c>
    </row>
    <row r="66" spans="1:7" ht="12">
      <c r="A66" s="226" t="s">
        <v>23</v>
      </c>
      <c r="B66" s="329">
        <v>766872.98</v>
      </c>
      <c r="C66" s="503">
        <v>161221.72</v>
      </c>
      <c r="D66" s="504">
        <v>928094.7</v>
      </c>
      <c r="E66" s="329">
        <v>862726.27</v>
      </c>
      <c r="F66" s="503">
        <v>65368.41</v>
      </c>
      <c r="G66" s="504">
        <v>928094.68</v>
      </c>
    </row>
    <row r="67" spans="1:7" ht="12">
      <c r="A67" s="226" t="s">
        <v>105</v>
      </c>
      <c r="B67" s="329">
        <v>2883829.17</v>
      </c>
      <c r="C67" s="503">
        <v>2545118.129178082</v>
      </c>
      <c r="D67" s="504">
        <v>5428947.2991780825</v>
      </c>
      <c r="E67" s="329">
        <v>4318674.4</v>
      </c>
      <c r="F67" s="503">
        <v>2094338.47</v>
      </c>
      <c r="G67" s="504">
        <v>6413012.869999999</v>
      </c>
    </row>
    <row r="68" spans="1:7" ht="12">
      <c r="A68" s="226" t="s">
        <v>4</v>
      </c>
      <c r="B68" s="329">
        <v>2457215.57</v>
      </c>
      <c r="C68" s="503">
        <v>833114.77</v>
      </c>
      <c r="D68" s="504">
        <v>3290330.34</v>
      </c>
      <c r="E68" s="329">
        <v>2829697.61</v>
      </c>
      <c r="F68" s="503">
        <v>514884.85</v>
      </c>
      <c r="G68" s="504">
        <v>3344582.46</v>
      </c>
    </row>
    <row r="69" spans="1:7" ht="12">
      <c r="A69" s="226" t="s">
        <v>10</v>
      </c>
      <c r="B69" s="329">
        <v>1788557.72</v>
      </c>
      <c r="C69" s="503">
        <v>895431.61</v>
      </c>
      <c r="D69" s="504">
        <v>2683989.33</v>
      </c>
      <c r="E69" s="329">
        <v>2033614.16</v>
      </c>
      <c r="F69" s="503">
        <v>659250.19</v>
      </c>
      <c r="G69" s="504">
        <v>2692864.35</v>
      </c>
    </row>
    <row r="70" spans="1:7" ht="12">
      <c r="A70" s="226" t="s">
        <v>95</v>
      </c>
      <c r="B70" s="329">
        <v>2490243.16</v>
      </c>
      <c r="C70" s="503">
        <v>544445.43</v>
      </c>
      <c r="D70" s="504">
        <v>3034688.59</v>
      </c>
      <c r="E70" s="329">
        <v>2804955</v>
      </c>
      <c r="F70" s="503">
        <v>439750.76</v>
      </c>
      <c r="G70" s="504">
        <v>3244705.76</v>
      </c>
    </row>
    <row r="71" spans="1:7" ht="12">
      <c r="A71" s="227" t="s">
        <v>6</v>
      </c>
      <c r="B71" s="329">
        <v>373103.66</v>
      </c>
      <c r="C71" s="503">
        <v>70225.08</v>
      </c>
      <c r="D71" s="505">
        <v>443328.74</v>
      </c>
      <c r="E71" s="329">
        <v>405453.14</v>
      </c>
      <c r="F71" s="503">
        <v>37875.58</v>
      </c>
      <c r="G71" s="505">
        <v>443328.72</v>
      </c>
    </row>
    <row r="72" spans="1:7" ht="12.75" thickBot="1">
      <c r="A72" s="509" t="s">
        <v>260</v>
      </c>
      <c r="B72" s="510">
        <v>40567704.91869019</v>
      </c>
      <c r="C72" s="515">
        <v>15038646.90917808</v>
      </c>
      <c r="D72" s="511">
        <v>55606351.82786829</v>
      </c>
      <c r="E72" s="510">
        <v>43862821.230000004</v>
      </c>
      <c r="F72" s="515">
        <v>10844750.790000001</v>
      </c>
      <c r="G72" s="511">
        <v>54707572.019999996</v>
      </c>
    </row>
    <row r="73" spans="2:7" ht="12.75" thickBot="1">
      <c r="B73" s="376"/>
      <c r="C73" s="376"/>
      <c r="D73" s="376"/>
      <c r="E73" s="376"/>
      <c r="F73" s="376"/>
      <c r="G73" s="376"/>
    </row>
    <row r="74" spans="1:7" ht="13.5" customHeight="1" thickBot="1">
      <c r="A74" s="154" t="s">
        <v>261</v>
      </c>
      <c r="B74" s="758">
        <v>55606351.82786827</v>
      </c>
      <c r="C74" s="767"/>
      <c r="D74" s="741"/>
      <c r="E74" s="758">
        <v>54707572.02</v>
      </c>
      <c r="F74" s="767"/>
      <c r="G74" s="741"/>
    </row>
    <row r="76" ht="12" hidden="1"/>
    <row r="77" spans="1:7" ht="12" hidden="1">
      <c r="A77" s="516" t="s">
        <v>263</v>
      </c>
      <c r="B77" s="516">
        <f>+B72-'FLUJO ANUAL'!B82</f>
        <v>0</v>
      </c>
      <c r="C77" s="516">
        <f>+C72-'FLUJO ANUAL'!C82</f>
        <v>0</v>
      </c>
      <c r="D77" s="516">
        <f>+D72-'FLUJO ANUAL'!B82-'FLUJO ANUAL'!C82</f>
        <v>1.6763806343078613E-08</v>
      </c>
      <c r="E77" s="516">
        <f>+E72-'FLUJO ANUAL'!D82</f>
        <v>0</v>
      </c>
      <c r="F77" s="516">
        <f>+F72-'FLUJO ANUAL'!E82</f>
        <v>0</v>
      </c>
      <c r="G77" s="516">
        <f>+E74-'FLUJO ANUAL'!D82-'FLUJO ANUAL'!E82</f>
        <v>0</v>
      </c>
    </row>
    <row r="78" ht="12" hidden="1"/>
    <row r="79" ht="12" hidden="1"/>
    <row r="80" ht="12">
      <c r="B80" s="563"/>
    </row>
  </sheetData>
  <sheetProtection/>
  <mergeCells count="10">
    <mergeCell ref="E7:G7"/>
    <mergeCell ref="G8:G9"/>
    <mergeCell ref="E74:G74"/>
    <mergeCell ref="A11:G11"/>
    <mergeCell ref="A32:G32"/>
    <mergeCell ref="A53:G53"/>
    <mergeCell ref="B7:D7"/>
    <mergeCell ref="D8:D9"/>
    <mergeCell ref="B74:D74"/>
    <mergeCell ref="A7:A9"/>
  </mergeCells>
  <printOptions horizontalCentered="1"/>
  <pageMargins left="0" right="0" top="0" bottom="0" header="0" footer="0"/>
  <pageSetup firstPageNumber="10" useFirstPageNumber="1" horizontalDpi="600" verticalDpi="600" orientation="portrait" paperSize="9" scale="80" r:id="rId2"/>
  <headerFooter alignWithMargins="0">
    <oddFooter>&amp;CPágina N°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Z77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14.57421875" style="1" customWidth="1"/>
    <col min="2" max="2" width="15.7109375" style="1" customWidth="1"/>
    <col min="3" max="3" width="10.00390625" style="1" customWidth="1"/>
    <col min="4" max="4" width="11.57421875" style="1" customWidth="1"/>
    <col min="5" max="6" width="13.7109375" style="1" customWidth="1"/>
    <col min="7" max="7" width="14.57421875" style="1" bestFit="1" customWidth="1"/>
    <col min="8" max="8" width="13.7109375" style="1" customWidth="1"/>
    <col min="9" max="9" width="10.8515625" style="1" bestFit="1" customWidth="1"/>
    <col min="10" max="10" width="11.421875" style="1" customWidth="1"/>
    <col min="11" max="14" width="0" style="1" hidden="1" customWidth="1"/>
    <col min="15" max="15" width="16.00390625" style="1" hidden="1" customWidth="1"/>
    <col min="16" max="16" width="12.7109375" style="1" hidden="1" customWidth="1"/>
    <col min="17" max="25" width="0" style="1" hidden="1" customWidth="1"/>
    <col min="26" max="16384" width="11.421875" style="1" customWidth="1"/>
  </cols>
  <sheetData>
    <row r="1" spans="1:10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46"/>
      <c r="I1" s="46"/>
      <c r="J1" s="46" t="s">
        <v>88</v>
      </c>
    </row>
    <row r="2" spans="3:8" ht="18" customHeight="1">
      <c r="C2" s="186"/>
      <c r="D2" s="502"/>
      <c r="E2" s="24" t="s">
        <v>218</v>
      </c>
      <c r="F2" s="502"/>
      <c r="G2" s="502"/>
      <c r="H2" s="502"/>
    </row>
    <row r="3" spans="3:8" ht="18" customHeight="1">
      <c r="C3" s="186"/>
      <c r="D3" s="502"/>
      <c r="E3" s="24" t="s">
        <v>219</v>
      </c>
      <c r="F3" s="502"/>
      <c r="G3" s="502"/>
      <c r="H3" s="502"/>
    </row>
    <row r="4" spans="1:10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46"/>
      <c r="I4" s="46"/>
      <c r="J4" s="46" t="s">
        <v>85</v>
      </c>
    </row>
    <row r="5" spans="4:7" ht="12.75">
      <c r="D5" s="1"/>
      <c r="E5" s="234" t="s">
        <v>325</v>
      </c>
      <c r="G5" s="17"/>
    </row>
    <row r="6" ht="7.5" customHeight="1" thickBot="1"/>
    <row r="7" spans="2:10" ht="12.75" customHeight="1" thickBot="1">
      <c r="B7" s="771" t="s">
        <v>241</v>
      </c>
      <c r="C7" s="772"/>
      <c r="D7" s="772"/>
      <c r="E7" s="772"/>
      <c r="F7" s="772"/>
      <c r="G7" s="772"/>
      <c r="H7" s="773"/>
      <c r="I7" s="630"/>
      <c r="J7" s="630"/>
    </row>
    <row r="8" spans="2:10" ht="7.5" customHeight="1">
      <c r="B8" s="481"/>
      <c r="C8" s="481"/>
      <c r="D8" s="481"/>
      <c r="E8" s="481"/>
      <c r="F8" s="481"/>
      <c r="G8" s="481"/>
      <c r="H8" s="481"/>
      <c r="I8" s="630"/>
      <c r="J8" s="630"/>
    </row>
    <row r="9" spans="6:10" ht="15" customHeight="1">
      <c r="F9" s="497" t="s">
        <v>255</v>
      </c>
      <c r="G9" s="498">
        <v>41233</v>
      </c>
      <c r="H9" s="497">
        <v>4.81</v>
      </c>
      <c r="I9" s="630"/>
      <c r="J9" s="630"/>
    </row>
    <row r="10" spans="2:10" ht="36">
      <c r="B10" s="496" t="s">
        <v>19</v>
      </c>
      <c r="C10" s="496" t="s">
        <v>17</v>
      </c>
      <c r="D10" s="496" t="s">
        <v>220</v>
      </c>
      <c r="E10" s="496" t="s">
        <v>221</v>
      </c>
      <c r="F10" s="496" t="s">
        <v>222</v>
      </c>
      <c r="G10" s="496" t="s">
        <v>223</v>
      </c>
      <c r="H10" s="496" t="s">
        <v>224</v>
      </c>
      <c r="I10" s="630"/>
      <c r="J10" s="630"/>
    </row>
    <row r="11" spans="2:10" ht="12.75" customHeight="1">
      <c r="B11" s="467" t="s">
        <v>16</v>
      </c>
      <c r="C11" s="468" t="s">
        <v>225</v>
      </c>
      <c r="D11" s="571">
        <f>+'[39]Evolución en pesos'!$K$79</f>
        <v>5312.98</v>
      </c>
      <c r="E11" s="571">
        <f>+'[39]Evolución en pesos'!$L$79</f>
        <v>29382.38</v>
      </c>
      <c r="F11" s="469">
        <f aca="true" t="shared" si="0" ref="F11:F22">SUM(D11:E11)</f>
        <v>34695.36</v>
      </c>
      <c r="G11" s="571">
        <f>+'[39]Evolución en pesos'!$N$79</f>
        <v>3202678.870660736</v>
      </c>
      <c r="H11" s="470">
        <f>ROUND(+$H$9*F11,2)</f>
        <v>166884.68</v>
      </c>
      <c r="I11" s="631">
        <f>+H11-'[39]Evolución en pesos'!$Q$76</f>
        <v>5222.299999999988</v>
      </c>
      <c r="J11" s="630"/>
    </row>
    <row r="12" spans="2:10" ht="12.75" customHeight="1">
      <c r="B12" s="471" t="s">
        <v>3</v>
      </c>
      <c r="C12" s="472" t="s">
        <v>226</v>
      </c>
      <c r="D12" s="473">
        <f>+'[18]Evolución en pesos'!$K$79</f>
        <v>1166.23</v>
      </c>
      <c r="E12" s="473">
        <f>+'[18]Evolución en pesos'!$L$79</f>
        <v>6449.6</v>
      </c>
      <c r="F12" s="474">
        <f t="shared" si="0"/>
        <v>7615.83</v>
      </c>
      <c r="G12" s="473">
        <f>+'[18]Evolución en pesos'!$N$79</f>
        <v>703006.430763246</v>
      </c>
      <c r="H12" s="475">
        <f aca="true" t="shared" si="1" ref="H12:H22">ROUND(+$H$9*F12,2)</f>
        <v>36632.14</v>
      </c>
      <c r="I12" s="631">
        <f>+H12-'[18]Evolución en pesos'!$Q$76</f>
        <v>1146.3199999999997</v>
      </c>
      <c r="J12" s="630"/>
    </row>
    <row r="13" spans="2:10" ht="12.75" customHeight="1">
      <c r="B13" s="471" t="s">
        <v>22</v>
      </c>
      <c r="C13" s="472" t="s">
        <v>227</v>
      </c>
      <c r="D13" s="473">
        <f>+'[41]Evolución en pesos'!$K$79</f>
        <v>2479.34</v>
      </c>
      <c r="E13" s="473">
        <f>+'[41]Evolución en pesos'!$L$79</f>
        <v>13711.49</v>
      </c>
      <c r="F13" s="474">
        <f t="shared" si="0"/>
        <v>16190.83</v>
      </c>
      <c r="G13" s="473">
        <f>+'[41]Evolución en pesos'!$N$79</f>
        <v>1494551.8626432105</v>
      </c>
      <c r="H13" s="475">
        <f>ROUND(+$H$9*F13,2)</f>
        <v>77877.89</v>
      </c>
      <c r="I13" s="631">
        <f>+H13-'[41]Evolución en pesos'!$Q$76</f>
        <v>2437.0800000000017</v>
      </c>
      <c r="J13" s="630"/>
    </row>
    <row r="14" spans="2:11" ht="12.75" customHeight="1">
      <c r="B14" s="471" t="s">
        <v>127</v>
      </c>
      <c r="C14" s="472" t="s">
        <v>228</v>
      </c>
      <c r="D14" s="473">
        <f>+'[36]Evolución en pesos'!$K$79</f>
        <v>519.17</v>
      </c>
      <c r="E14" s="473">
        <f>+'[36]Evolución en pesos'!$L$79</f>
        <v>2871.17</v>
      </c>
      <c r="F14" s="474">
        <f t="shared" si="0"/>
        <v>3390.34</v>
      </c>
      <c r="G14" s="473">
        <f>+'[36]Evolución en pesos'!$N$79</f>
        <v>312957.8855998658</v>
      </c>
      <c r="H14" s="475">
        <f t="shared" si="1"/>
        <v>16307.54</v>
      </c>
      <c r="I14" s="631">
        <f>+H14-'[36]Evolución en pesos'!$Q$76</f>
        <v>510.3000000000011</v>
      </c>
      <c r="J14" s="630"/>
      <c r="K14" s="1" t="s">
        <v>286</v>
      </c>
    </row>
    <row r="15" spans="2:10" ht="12.75" customHeight="1">
      <c r="B15" s="471" t="s">
        <v>1</v>
      </c>
      <c r="C15" s="472" t="s">
        <v>229</v>
      </c>
      <c r="D15" s="473">
        <f>+'[24]Evolución en pesos'!$K$79</f>
        <v>2603.9</v>
      </c>
      <c r="E15" s="473">
        <f>+'[24]Evolución en pesos'!$L$79</f>
        <v>14400.36</v>
      </c>
      <c r="F15" s="474">
        <f t="shared" si="0"/>
        <v>17004.260000000002</v>
      </c>
      <c r="G15" s="473">
        <f>+'[24]Evolución en pesos'!$N$79</f>
        <v>1569638.6924691761</v>
      </c>
      <c r="H15" s="475">
        <f>ROUND(+$H$9*F15,2)</f>
        <v>81790.49</v>
      </c>
      <c r="I15" s="631">
        <f>+H15-'[24]Evolución en pesos'!$Q$76</f>
        <v>2559.4800000000105</v>
      </c>
      <c r="J15" s="630"/>
    </row>
    <row r="16" spans="2:10" ht="12.75" customHeight="1">
      <c r="B16" s="471" t="s">
        <v>13</v>
      </c>
      <c r="C16" s="472" t="s">
        <v>230</v>
      </c>
      <c r="D16" s="473">
        <f>+'[32]Evolución en pesos'!$K$79</f>
        <v>1250.13</v>
      </c>
      <c r="E16" s="473">
        <f>+'[32]Evolución en pesos'!$L$79</f>
        <v>6913.61</v>
      </c>
      <c r="F16" s="474">
        <f t="shared" si="0"/>
        <v>8163.74</v>
      </c>
      <c r="G16" s="473">
        <f>+'[32]Evolución en pesos'!$N$79</f>
        <v>753584.0379999984</v>
      </c>
      <c r="H16" s="475">
        <f t="shared" si="1"/>
        <v>39267.59</v>
      </c>
      <c r="I16" s="631">
        <f>+H16-'[32]Evolución en pesos'!$Q$76</f>
        <v>1228.699999999997</v>
      </c>
      <c r="J16" s="630"/>
    </row>
    <row r="17" spans="2:10" ht="12.75" customHeight="1">
      <c r="B17" s="471" t="s">
        <v>231</v>
      </c>
      <c r="C17" s="472" t="s">
        <v>232</v>
      </c>
      <c r="D17" s="473">
        <f>+'[11]Evolución en pesos'!$K$79</f>
        <v>1865.12</v>
      </c>
      <c r="E17" s="473">
        <f>+'[11]Evolución en pesos'!$L$79</f>
        <v>10314.67</v>
      </c>
      <c r="F17" s="474">
        <f t="shared" si="0"/>
        <v>12179.79</v>
      </c>
      <c r="G17" s="473">
        <f>+'[11]Evolución en pesos'!$N$79</f>
        <v>1124298.9033385797</v>
      </c>
      <c r="H17" s="475">
        <f>ROUND(+$H$9*F17,2)</f>
        <v>58584.79</v>
      </c>
      <c r="I17" s="631">
        <f>+H17-'[11]Evolución en pesos'!$Q$76</f>
        <v>1833.280000000006</v>
      </c>
      <c r="J17" s="630"/>
    </row>
    <row r="18" spans="2:10" ht="12.75" customHeight="1">
      <c r="B18" s="471" t="s">
        <v>4</v>
      </c>
      <c r="C18" s="472" t="s">
        <v>233</v>
      </c>
      <c r="D18" s="473">
        <f>+'[9]Evolución en pesos'!$K$79</f>
        <v>1398.47</v>
      </c>
      <c r="E18" s="473">
        <f>+'[9]Evolución en pesos'!$L$79</f>
        <v>7733.94</v>
      </c>
      <c r="F18" s="474">
        <f t="shared" si="0"/>
        <v>9132.41</v>
      </c>
      <c r="G18" s="473">
        <f>+'[9]Evolución en pesos'!$N$79</f>
        <v>843000.0078125033</v>
      </c>
      <c r="H18" s="475">
        <f t="shared" si="1"/>
        <v>43926.89</v>
      </c>
      <c r="I18" s="631">
        <f>+H18-'[9]Evolución en pesos'!$Q$76</f>
        <v>1374.5699999999997</v>
      </c>
      <c r="J18" s="630"/>
    </row>
    <row r="19" spans="2:10" ht="12.75" customHeight="1">
      <c r="B19" s="471" t="s">
        <v>14</v>
      </c>
      <c r="C19" s="472" t="s">
        <v>234</v>
      </c>
      <c r="D19" s="473">
        <f>+'[34]Evolución en pesos'!$K$66</f>
        <v>337</v>
      </c>
      <c r="E19" s="473">
        <f>+'[34]Evolución en pesos'!$L$66</f>
        <v>1863.73</v>
      </c>
      <c r="F19" s="474">
        <f t="shared" si="0"/>
        <v>2200.73</v>
      </c>
      <c r="G19" s="473">
        <f>+'[34]Evolución en pesos'!$N$66</f>
        <v>203146.0200000003</v>
      </c>
      <c r="H19" s="475">
        <f t="shared" si="1"/>
        <v>10585.51</v>
      </c>
      <c r="I19" s="631">
        <f>+H19-'[34]Evolución en pesos'!$Q$63</f>
        <v>331.3000000000011</v>
      </c>
      <c r="J19" s="630"/>
    </row>
    <row r="20" spans="2:10" ht="12.75" customHeight="1">
      <c r="B20" s="471" t="s">
        <v>11</v>
      </c>
      <c r="C20" s="472" t="s">
        <v>235</v>
      </c>
      <c r="D20" s="473">
        <f>+'[3]Evolución en pesos'!$K$66</f>
        <v>5198.84</v>
      </c>
      <c r="E20" s="473">
        <f>+'[3]Evolución en pesos'!$L$66</f>
        <v>28751.19</v>
      </c>
      <c r="F20" s="474">
        <f t="shared" si="0"/>
        <v>33950.03</v>
      </c>
      <c r="G20" s="473">
        <f>+'[3]Evolución en pesos'!$N$66</f>
        <v>3133879.1599999988</v>
      </c>
      <c r="H20" s="475">
        <f t="shared" si="1"/>
        <v>163299.64</v>
      </c>
      <c r="I20" s="631">
        <f>+H20-'[3]Evolución en pesos'!$Q$63</f>
        <v>5110.100000000006</v>
      </c>
      <c r="J20" s="630"/>
    </row>
    <row r="21" spans="2:10" ht="12.75" customHeight="1">
      <c r="B21" s="471" t="s">
        <v>198</v>
      </c>
      <c r="C21" s="472" t="s">
        <v>236</v>
      </c>
      <c r="D21" s="473">
        <f>+'[26]Evolución en pesos'!$K$66</f>
        <v>1575.95</v>
      </c>
      <c r="E21" s="473">
        <f>+'[26]Evolución en pesos'!$L$66</f>
        <v>8715.49</v>
      </c>
      <c r="F21" s="474">
        <f t="shared" si="0"/>
        <v>10291.44</v>
      </c>
      <c r="G21" s="473">
        <f>+'[26]Evolución en pesos'!$N$66</f>
        <v>949988.2700000005</v>
      </c>
      <c r="H21" s="475">
        <f t="shared" si="1"/>
        <v>49501.83</v>
      </c>
      <c r="I21" s="631">
        <f>+H21-'[26]Evolución en pesos'!$Q$63</f>
        <v>1549.020000000004</v>
      </c>
      <c r="J21" s="630"/>
    </row>
    <row r="22" spans="2:10" ht="12.75" customHeight="1">
      <c r="B22" s="564" t="s">
        <v>10</v>
      </c>
      <c r="C22" s="565" t="s">
        <v>237</v>
      </c>
      <c r="D22" s="572">
        <f>+'[7]Evolución en pesos'!$K$66</f>
        <v>426.01</v>
      </c>
      <c r="E22" s="572">
        <f>+'[7]Evolución en pesos'!$L$66</f>
        <v>2355.97</v>
      </c>
      <c r="F22" s="566">
        <f t="shared" si="0"/>
        <v>2781.9799999999996</v>
      </c>
      <c r="G22" s="572">
        <f>+'[7]Evolución en pesos'!$N$66</f>
        <v>256800.24000000124</v>
      </c>
      <c r="H22" s="567">
        <f t="shared" si="1"/>
        <v>13381.32</v>
      </c>
      <c r="I22" s="631">
        <f>+H22-'[7]Evolución en pesos'!$Q$63</f>
        <v>418.7099999999991</v>
      </c>
      <c r="J22" s="630"/>
    </row>
    <row r="23" spans="2:10" ht="15" customHeight="1">
      <c r="B23" s="774" t="s">
        <v>151</v>
      </c>
      <c r="C23" s="774"/>
      <c r="D23" s="568">
        <f>SUM(D11:D22)</f>
        <v>24133.14</v>
      </c>
      <c r="E23" s="568">
        <f>SUM(E11:E22)</f>
        <v>133463.6</v>
      </c>
      <c r="F23" s="568">
        <f>SUM(F11:F22)</f>
        <v>157596.74000000002</v>
      </c>
      <c r="G23" s="568">
        <f>SUM(G11:G22)</f>
        <v>14547530.381287318</v>
      </c>
      <c r="H23" s="710">
        <f>SUM(H11:H22)</f>
        <v>758040.3099999998</v>
      </c>
      <c r="I23" s="630"/>
      <c r="J23" s="632"/>
    </row>
    <row r="24" spans="9:10" ht="7.5" customHeight="1" thickBot="1">
      <c r="I24" s="630"/>
      <c r="J24" s="630"/>
    </row>
    <row r="25" spans="2:10" ht="13.5" thickBot="1">
      <c r="B25" s="771" t="s">
        <v>254</v>
      </c>
      <c r="C25" s="772"/>
      <c r="D25" s="772"/>
      <c r="E25" s="772"/>
      <c r="F25" s="772"/>
      <c r="G25" s="772"/>
      <c r="H25" s="773"/>
      <c r="I25" s="630"/>
      <c r="J25" s="630"/>
    </row>
    <row r="26" spans="9:10" ht="7.5" customHeight="1">
      <c r="I26" s="630"/>
      <c r="J26" s="630"/>
    </row>
    <row r="27" spans="2:10" ht="36">
      <c r="B27" s="499" t="s">
        <v>19</v>
      </c>
      <c r="C27" s="499" t="s">
        <v>17</v>
      </c>
      <c r="D27" s="499" t="s">
        <v>238</v>
      </c>
      <c r="E27" s="499" t="s">
        <v>1</v>
      </c>
      <c r="F27" s="499" t="s">
        <v>224</v>
      </c>
      <c r="G27" s="499" t="s">
        <v>223</v>
      </c>
      <c r="H27" s="499" t="s">
        <v>239</v>
      </c>
      <c r="I27" s="630"/>
      <c r="J27" s="630"/>
    </row>
    <row r="28" spans="2:10" ht="12.75" customHeight="1">
      <c r="B28" s="467" t="s">
        <v>16</v>
      </c>
      <c r="C28" s="477" t="s">
        <v>225</v>
      </c>
      <c r="D28" s="500">
        <f>+'[38]Evolución'!$I$77</f>
        <v>3886.7</v>
      </c>
      <c r="E28" s="500">
        <f>+'[38]Evolución'!$J$77</f>
        <v>56295.49</v>
      </c>
      <c r="F28" s="500">
        <f>+D28+E28</f>
        <v>60182.189999999995</v>
      </c>
      <c r="G28" s="500">
        <f>+'[38]Evolución'!$N$77</f>
        <v>731841.2999999996</v>
      </c>
      <c r="H28" s="779">
        <f>+F33+H23</f>
        <v>829612.1499999998</v>
      </c>
      <c r="I28" s="630"/>
      <c r="J28" s="630"/>
    </row>
    <row r="29" spans="2:10" ht="12.75" customHeight="1">
      <c r="B29" s="471" t="s">
        <v>10</v>
      </c>
      <c r="C29" s="629" t="s">
        <v>240</v>
      </c>
      <c r="D29" s="612">
        <f>+'[6]Evolución'!$I$64</f>
        <v>735.57</v>
      </c>
      <c r="E29" s="612">
        <f>+'[6]Evolución'!$J$64</f>
        <v>10654.08</v>
      </c>
      <c r="F29" s="612">
        <f>+D29+E29</f>
        <v>11389.65</v>
      </c>
      <c r="G29" s="612">
        <f>+'[6]Evolución'!$L$64</f>
        <v>138502.97000000032</v>
      </c>
      <c r="H29" s="780"/>
      <c r="I29" s="630"/>
      <c r="J29" s="630"/>
    </row>
    <row r="30" spans="2:10" ht="12.75" customHeight="1" hidden="1">
      <c r="B30" s="485" t="s">
        <v>22</v>
      </c>
      <c r="C30" s="629" t="s">
        <v>301</v>
      </c>
      <c r="D30" s="612"/>
      <c r="E30" s="612"/>
      <c r="F30" s="612"/>
      <c r="G30" s="612"/>
      <c r="H30" s="602"/>
      <c r="I30" s="630"/>
      <c r="J30" s="630"/>
    </row>
    <row r="31" spans="2:10" ht="12.75" customHeight="1" hidden="1">
      <c r="B31" s="485" t="s">
        <v>8</v>
      </c>
      <c r="C31" s="629"/>
      <c r="D31" s="612"/>
      <c r="E31" s="612"/>
      <c r="F31" s="612"/>
      <c r="G31" s="612"/>
      <c r="H31" s="602"/>
      <c r="I31" s="630"/>
      <c r="J31" s="630"/>
    </row>
    <row r="32" spans="2:10" ht="12.75" customHeight="1" hidden="1">
      <c r="B32" s="486" t="s">
        <v>11</v>
      </c>
      <c r="C32" s="478"/>
      <c r="D32" s="501"/>
      <c r="E32" s="501"/>
      <c r="F32" s="501"/>
      <c r="G32" s="501"/>
      <c r="H32" s="602"/>
      <c r="I32" s="630"/>
      <c r="J32" s="630"/>
    </row>
    <row r="33" spans="2:10" ht="15" customHeight="1">
      <c r="B33" s="788" t="s">
        <v>151</v>
      </c>
      <c r="C33" s="788"/>
      <c r="D33" s="479">
        <f>SUM(D28:D29)</f>
        <v>4622.2699999999995</v>
      </c>
      <c r="E33" s="479">
        <f>SUM(E28:E29)</f>
        <v>66949.56999999999</v>
      </c>
      <c r="F33" s="711">
        <f>SUM(F28:F29)</f>
        <v>71571.84</v>
      </c>
      <c r="G33" s="479">
        <f>SUM(G28:G29)</f>
        <v>870344.2699999999</v>
      </c>
      <c r="I33" s="630"/>
      <c r="J33" s="632"/>
    </row>
    <row r="34" spans="9:10" ht="7.5" customHeight="1" thickBot="1">
      <c r="I34" s="630"/>
      <c r="J34" s="630"/>
    </row>
    <row r="35" spans="2:10" ht="12.75" customHeight="1" thickBot="1">
      <c r="B35" s="771" t="s">
        <v>256</v>
      </c>
      <c r="C35" s="772"/>
      <c r="D35" s="772"/>
      <c r="E35" s="772"/>
      <c r="F35" s="772"/>
      <c r="G35" s="772"/>
      <c r="H35" s="773"/>
      <c r="I35" s="630"/>
      <c r="J35" s="630"/>
    </row>
    <row r="36" spans="9:10" ht="7.5" customHeight="1">
      <c r="I36" s="630"/>
      <c r="J36" s="630"/>
    </row>
    <row r="37" spans="2:10" ht="24">
      <c r="B37" s="499" t="s">
        <v>19</v>
      </c>
      <c r="C37" s="499" t="s">
        <v>17</v>
      </c>
      <c r="D37" s="499" t="s">
        <v>242</v>
      </c>
      <c r="E37" s="499" t="s">
        <v>243</v>
      </c>
      <c r="F37" s="499" t="s">
        <v>244</v>
      </c>
      <c r="G37" s="499" t="s">
        <v>245</v>
      </c>
      <c r="H37" s="499" t="s">
        <v>246</v>
      </c>
      <c r="I37" s="630"/>
      <c r="J37" s="630"/>
    </row>
    <row r="38" spans="2:10" ht="12.75" customHeight="1">
      <c r="B38" s="658" t="s">
        <v>1</v>
      </c>
      <c r="C38" s="719" t="s">
        <v>247</v>
      </c>
      <c r="D38" s="660" t="s">
        <v>320</v>
      </c>
      <c r="E38" s="720">
        <f>+'[23]Evolución'!$K$60</f>
        <v>132481.97</v>
      </c>
      <c r="F38" s="720">
        <f>+'[23]Evolución'!$J$60</f>
        <v>29171.21</v>
      </c>
      <c r="G38" s="721">
        <f aca="true" t="shared" si="2" ref="G38:G54">ROUND(+F38+E38,2)</f>
        <v>161653.18</v>
      </c>
      <c r="H38" s="721">
        <f>+'[23]Evolución'!$M$60</f>
        <v>2784639.0000000014</v>
      </c>
      <c r="I38" s="631"/>
      <c r="J38" s="630"/>
    </row>
    <row r="39" spans="2:10" ht="12.75" customHeight="1">
      <c r="B39" s="485" t="s">
        <v>21</v>
      </c>
      <c r="C39" s="472" t="s">
        <v>248</v>
      </c>
      <c r="D39" s="482" t="s">
        <v>320</v>
      </c>
      <c r="E39" s="473">
        <f>+'[27]Evolución'!$K$52</f>
        <v>81842.13</v>
      </c>
      <c r="F39" s="473">
        <f>+'[27]Evolución'!$J$52</f>
        <v>18020.82</v>
      </c>
      <c r="G39" s="483">
        <f t="shared" si="2"/>
        <v>99862.95</v>
      </c>
      <c r="H39" s="483">
        <f>+'[27]Evolución'!$M$52</f>
        <v>1720240.0599999991</v>
      </c>
      <c r="I39" s="631"/>
      <c r="J39" s="630"/>
    </row>
    <row r="40" spans="2:10" ht="12.75" customHeight="1">
      <c r="B40" s="485" t="s">
        <v>22</v>
      </c>
      <c r="C40" s="472" t="s">
        <v>247</v>
      </c>
      <c r="D40" s="482" t="s">
        <v>320</v>
      </c>
      <c r="E40" s="473">
        <f>+'[42]Evolución'!$K$49</f>
        <v>31424.33</v>
      </c>
      <c r="F40" s="473">
        <f>+'[42]Evolución'!$J$49</f>
        <v>6919.33</v>
      </c>
      <c r="G40" s="483">
        <f t="shared" si="2"/>
        <v>38343.66</v>
      </c>
      <c r="H40" s="483">
        <f>+'[42]Evolución'!$M$49</f>
        <v>660508.2199999999</v>
      </c>
      <c r="I40" s="631"/>
      <c r="J40" s="630"/>
    </row>
    <row r="41" spans="2:10" ht="12.75" customHeight="1">
      <c r="B41" s="485" t="s">
        <v>16</v>
      </c>
      <c r="C41" s="472" t="s">
        <v>247</v>
      </c>
      <c r="D41" s="482" t="s">
        <v>320</v>
      </c>
      <c r="E41" s="473">
        <f>+'[40]Evolución'!$K$51</f>
        <v>156662.89</v>
      </c>
      <c r="F41" s="473">
        <f>+'[40]Evolución'!$J$51</f>
        <v>34495.61</v>
      </c>
      <c r="G41" s="483">
        <f t="shared" si="2"/>
        <v>191158.5</v>
      </c>
      <c r="H41" s="483">
        <f>+'[40]Evolución'!$M$51</f>
        <v>3292897.9399999995</v>
      </c>
      <c r="I41" s="631"/>
      <c r="J41" s="630"/>
    </row>
    <row r="42" spans="2:10" ht="12.75" customHeight="1">
      <c r="B42" s="485" t="s">
        <v>127</v>
      </c>
      <c r="C42" s="472" t="s">
        <v>248</v>
      </c>
      <c r="D42" s="482" t="s">
        <v>320</v>
      </c>
      <c r="E42" s="473">
        <f>+'[37]Evolución'!$K$49</f>
        <v>20130.01</v>
      </c>
      <c r="F42" s="473">
        <f>+'[37]Evolución'!$J$49</f>
        <v>4432.43</v>
      </c>
      <c r="G42" s="483">
        <f t="shared" si="2"/>
        <v>24562.44</v>
      </c>
      <c r="H42" s="483">
        <f>+'[37]Evolución'!$M$49</f>
        <v>423112.72</v>
      </c>
      <c r="I42" s="631"/>
      <c r="J42" s="630"/>
    </row>
    <row r="43" spans="2:10" ht="12.75" customHeight="1">
      <c r="B43" s="485" t="s">
        <v>14</v>
      </c>
      <c r="C43" s="472" t="s">
        <v>247</v>
      </c>
      <c r="D43" s="482" t="s">
        <v>320</v>
      </c>
      <c r="E43" s="473">
        <f>+'[35]Evolución'!$K$49</f>
        <v>22904.21</v>
      </c>
      <c r="F43" s="473">
        <f>+'[35]Evolución'!$J$49</f>
        <v>5043.28</v>
      </c>
      <c r="G43" s="483">
        <f t="shared" si="2"/>
        <v>27947.49</v>
      </c>
      <c r="H43" s="483">
        <f>+'[35]Evolución'!$M$49</f>
        <v>481423.68000000017</v>
      </c>
      <c r="I43" s="631"/>
      <c r="J43" s="630"/>
    </row>
    <row r="44" spans="2:10" ht="12.75" customHeight="1">
      <c r="B44" s="485" t="s">
        <v>13</v>
      </c>
      <c r="C44" s="472" t="s">
        <v>247</v>
      </c>
      <c r="D44" s="482" t="s">
        <v>320</v>
      </c>
      <c r="E44" s="473">
        <f>+'[33]Evolución'!$K$60</f>
        <v>119463.57</v>
      </c>
      <c r="F44" s="473">
        <f>+'[33]Evolución'!$J$60</f>
        <v>26304.69</v>
      </c>
      <c r="G44" s="483">
        <f t="shared" si="2"/>
        <v>145768.26</v>
      </c>
      <c r="H44" s="483">
        <f>+'[33]Evolución'!$M$60</f>
        <v>2511005.16</v>
      </c>
      <c r="I44" s="631"/>
      <c r="J44" s="630"/>
    </row>
    <row r="45" spans="2:10" ht="12.75" customHeight="1">
      <c r="B45" s="485" t="s">
        <v>9</v>
      </c>
      <c r="C45" s="472" t="s">
        <v>247</v>
      </c>
      <c r="D45" s="482" t="s">
        <v>320</v>
      </c>
      <c r="E45" s="473">
        <f>+'[31]Evolución'!$K$53</f>
        <v>39430.88</v>
      </c>
      <c r="F45" s="473">
        <f>+'[31]Evolución'!$J$53</f>
        <v>8682.29</v>
      </c>
      <c r="G45" s="483">
        <f t="shared" si="2"/>
        <v>48113.17</v>
      </c>
      <c r="H45" s="483">
        <f>+'[31]Evolución'!$M$53</f>
        <v>828797.8100000004</v>
      </c>
      <c r="I45" s="631"/>
      <c r="J45" s="630"/>
    </row>
    <row r="46" spans="2:10" ht="12.75" customHeight="1">
      <c r="B46" s="485" t="s">
        <v>8</v>
      </c>
      <c r="C46" s="472" t="s">
        <v>247</v>
      </c>
      <c r="D46" s="482" t="s">
        <v>320</v>
      </c>
      <c r="E46" s="473">
        <f>+'[29]Evolución'!$K$52</f>
        <v>118292.64</v>
      </c>
      <c r="F46" s="473">
        <f>+'[29]Evolución'!$J$52</f>
        <v>26046.86</v>
      </c>
      <c r="G46" s="483">
        <f t="shared" si="2"/>
        <v>144339.5</v>
      </c>
      <c r="H46" s="483">
        <f>+'[29]Evolución'!$M$52</f>
        <v>2486393.380000002</v>
      </c>
      <c r="I46" s="631"/>
      <c r="J46" s="630"/>
    </row>
    <row r="47" spans="2:10" ht="12.75" customHeight="1">
      <c r="B47" s="485" t="s">
        <v>3</v>
      </c>
      <c r="C47" s="472" t="s">
        <v>247</v>
      </c>
      <c r="D47" s="482" t="s">
        <v>320</v>
      </c>
      <c r="E47" s="473">
        <f>+'[20]Evolución'!$K$50</f>
        <v>130606.45</v>
      </c>
      <c r="F47" s="473">
        <f>+'[20]Evolución'!$J$50</f>
        <v>28758.24</v>
      </c>
      <c r="G47" s="483">
        <f t="shared" si="2"/>
        <v>159364.69</v>
      </c>
      <c r="H47" s="483">
        <f>+'[20]Evolución'!$M$50</f>
        <v>2745217.5500000017</v>
      </c>
      <c r="I47" s="631"/>
      <c r="J47" s="630"/>
    </row>
    <row r="48" spans="2:10" ht="12.75" customHeight="1">
      <c r="B48" s="485" t="s">
        <v>5</v>
      </c>
      <c r="C48" s="472" t="s">
        <v>248</v>
      </c>
      <c r="D48" s="482" t="s">
        <v>320</v>
      </c>
      <c r="E48" s="473">
        <f>+'[17]Evolución'!$K$52</f>
        <v>95947.8</v>
      </c>
      <c r="F48" s="473">
        <f>+'[17]Evolución'!$J$52</f>
        <v>21126.75</v>
      </c>
      <c r="G48" s="483">
        <f t="shared" si="2"/>
        <v>117074.55</v>
      </c>
      <c r="H48" s="483">
        <f>+'[17]Evolución'!$M$52</f>
        <v>2016727.1099999987</v>
      </c>
      <c r="I48" s="631"/>
      <c r="J48" s="630"/>
    </row>
    <row r="49" spans="2:10" ht="12.75" customHeight="1">
      <c r="B49" s="485" t="s">
        <v>7</v>
      </c>
      <c r="C49" s="472" t="s">
        <v>247</v>
      </c>
      <c r="D49" s="482" t="s">
        <v>320</v>
      </c>
      <c r="E49" s="473">
        <f>+'[16]Evolución'!$K$53</f>
        <v>49627.4</v>
      </c>
      <c r="F49" s="473">
        <f>+'[16]Evolución'!$J$53</f>
        <v>10927.46</v>
      </c>
      <c r="G49" s="483">
        <f t="shared" si="2"/>
        <v>60554.86</v>
      </c>
      <c r="H49" s="483">
        <f>+'[16]Evolución'!$M$53</f>
        <v>1043118.5399999992</v>
      </c>
      <c r="I49" s="631"/>
      <c r="J49" s="630"/>
    </row>
    <row r="50" spans="2:10" ht="12.75" customHeight="1">
      <c r="B50" s="485" t="s">
        <v>231</v>
      </c>
      <c r="C50" s="472" t="s">
        <v>247</v>
      </c>
      <c r="D50" s="482" t="s">
        <v>320</v>
      </c>
      <c r="E50" s="473">
        <f>+'[12]Evolución'!$K$56</f>
        <v>92707.6</v>
      </c>
      <c r="F50" s="473">
        <f>+'[12]Evolución'!$J$56</f>
        <v>20413.29</v>
      </c>
      <c r="G50" s="483">
        <f t="shared" si="2"/>
        <v>113120.89</v>
      </c>
      <c r="H50" s="483">
        <f>+'[12]Evolución'!$M$56</f>
        <v>1948621.459999999</v>
      </c>
      <c r="I50" s="631"/>
      <c r="J50" s="630"/>
    </row>
    <row r="51" spans="2:10" ht="12.75" customHeight="1">
      <c r="B51" s="485" t="s">
        <v>4</v>
      </c>
      <c r="C51" s="472" t="s">
        <v>247</v>
      </c>
      <c r="D51" s="482" t="s">
        <v>320</v>
      </c>
      <c r="E51" s="473">
        <f>+'[15]Evolución'!$K$51</f>
        <v>60624.98</v>
      </c>
      <c r="F51" s="473">
        <f>+'[15]Evolución'!$J$51</f>
        <v>13349.02</v>
      </c>
      <c r="G51" s="483">
        <f t="shared" si="2"/>
        <v>73974</v>
      </c>
      <c r="H51" s="483">
        <f>+'[15]Evolución'!$M$51</f>
        <v>1274276.6199999992</v>
      </c>
      <c r="I51" s="631"/>
      <c r="J51" s="630"/>
    </row>
    <row r="52" spans="2:10" ht="12.75" customHeight="1">
      <c r="B52" s="485" t="s">
        <v>249</v>
      </c>
      <c r="C52" s="472" t="s">
        <v>248</v>
      </c>
      <c r="D52" s="482" t="s">
        <v>316</v>
      </c>
      <c r="E52" s="473">
        <f>+'[8]Evolución'!$K$50</f>
        <v>50447.64</v>
      </c>
      <c r="F52" s="473">
        <f>+'[8]Evolución'!$J$50</f>
        <v>11723.63</v>
      </c>
      <c r="G52" s="483">
        <f t="shared" si="2"/>
        <v>62171.27</v>
      </c>
      <c r="H52" s="483">
        <f>+'[8]Evolución'!$M$50</f>
        <v>1121914.9200000002</v>
      </c>
      <c r="I52" s="631"/>
      <c r="J52" s="630"/>
    </row>
    <row r="53" spans="2:10" ht="12.75" customHeight="1">
      <c r="B53" s="485" t="s">
        <v>11</v>
      </c>
      <c r="C53" s="472" t="s">
        <v>247</v>
      </c>
      <c r="D53" s="482" t="s">
        <v>320</v>
      </c>
      <c r="E53" s="473">
        <f>+'[4]Evolución'!$K$58</f>
        <v>73050.33</v>
      </c>
      <c r="F53" s="473">
        <f>+'[4]Evolución'!$J$58</f>
        <v>16084.96</v>
      </c>
      <c r="G53" s="483">
        <f t="shared" si="2"/>
        <v>89135.29</v>
      </c>
      <c r="H53" s="483">
        <f>+'[4]Evolución'!$M$58</f>
        <v>1535445.2499999998</v>
      </c>
      <c r="I53" s="631"/>
      <c r="J53" s="630"/>
    </row>
    <row r="54" spans="2:10" ht="12.75" customHeight="1">
      <c r="B54" s="486" t="s">
        <v>6</v>
      </c>
      <c r="C54" s="476" t="s">
        <v>247</v>
      </c>
      <c r="D54" s="482" t="s">
        <v>320</v>
      </c>
      <c r="E54" s="473">
        <f>+'[2]Evolución'!$K$51</f>
        <v>22216.26</v>
      </c>
      <c r="F54" s="473">
        <f>+'[2]Evolución'!$J$51</f>
        <v>4891.8</v>
      </c>
      <c r="G54" s="487">
        <f t="shared" si="2"/>
        <v>27108.06</v>
      </c>
      <c r="H54" s="483">
        <f>+'[2]Evolución'!$M$51</f>
        <v>466963.7</v>
      </c>
      <c r="I54" s="631"/>
      <c r="J54" s="630"/>
    </row>
    <row r="55" spans="2:12" ht="15" customHeight="1">
      <c r="B55" s="789" t="s">
        <v>151</v>
      </c>
      <c r="C55" s="790"/>
      <c r="D55" s="791"/>
      <c r="E55" s="479">
        <f>SUM(E38:E54)</f>
        <v>1297861.09</v>
      </c>
      <c r="F55" s="479">
        <f>SUM(F38:F54)</f>
        <v>286391.67</v>
      </c>
      <c r="G55" s="711">
        <f>SUM(G38:G54)</f>
        <v>1584252.7600000002</v>
      </c>
      <c r="H55" s="479">
        <f>SUM(H38:H54)</f>
        <v>27341303.12</v>
      </c>
      <c r="I55" s="632"/>
      <c r="J55" s="632"/>
      <c r="K55" s="562"/>
      <c r="L55" s="562"/>
    </row>
    <row r="56" spans="9:10" ht="7.5" customHeight="1" thickBot="1">
      <c r="I56" s="630"/>
      <c r="J56" s="630"/>
    </row>
    <row r="57" spans="2:10" ht="12.75" customHeight="1" thickBot="1">
      <c r="B57" s="792" t="s">
        <v>257</v>
      </c>
      <c r="C57" s="793"/>
      <c r="D57" s="793"/>
      <c r="E57" s="793"/>
      <c r="F57" s="793"/>
      <c r="G57" s="793"/>
      <c r="H57" s="794"/>
      <c r="I57" s="630"/>
      <c r="J57" s="630"/>
    </row>
    <row r="58" spans="9:10" ht="7.5" customHeight="1">
      <c r="I58" s="630"/>
      <c r="J58" s="630"/>
    </row>
    <row r="59" spans="2:17" ht="22.5" customHeight="1">
      <c r="B59" s="781" t="s">
        <v>250</v>
      </c>
      <c r="C59" s="781"/>
      <c r="D59" s="781"/>
      <c r="E59" s="781"/>
      <c r="F59" s="480"/>
      <c r="G59" s="499" t="s">
        <v>8</v>
      </c>
      <c r="H59" s="499" t="s">
        <v>11</v>
      </c>
      <c r="I59" s="630"/>
      <c r="J59" s="630"/>
      <c r="L59" s="781" t="s">
        <v>250</v>
      </c>
      <c r="M59" s="781"/>
      <c r="N59" s="781"/>
      <c r="O59" s="781"/>
      <c r="P59" s="499" t="s">
        <v>8</v>
      </c>
      <c r="Q59" s="499" t="s">
        <v>11</v>
      </c>
    </row>
    <row r="60" spans="2:17" ht="12.75" customHeight="1">
      <c r="B60" s="776" t="s">
        <v>278</v>
      </c>
      <c r="C60" s="777"/>
      <c r="D60" s="777"/>
      <c r="E60" s="778"/>
      <c r="F60" s="480"/>
      <c r="G60" s="592">
        <v>0.9999</v>
      </c>
      <c r="H60" s="592">
        <v>0.9999</v>
      </c>
      <c r="I60" s="633"/>
      <c r="J60" s="633"/>
      <c r="L60" s="776" t="s">
        <v>278</v>
      </c>
      <c r="M60" s="777"/>
      <c r="N60" s="777"/>
      <c r="O60" s="778"/>
      <c r="P60" s="592">
        <v>0.9999</v>
      </c>
      <c r="Q60" s="592">
        <v>0.9999</v>
      </c>
    </row>
    <row r="61" spans="2:17" ht="12.75" customHeight="1">
      <c r="B61" s="776" t="s">
        <v>279</v>
      </c>
      <c r="C61" s="777"/>
      <c r="D61" s="777"/>
      <c r="E61" s="778"/>
      <c r="F61" s="480"/>
      <c r="G61" s="593">
        <v>1.334</v>
      </c>
      <c r="H61" s="593">
        <v>1.334</v>
      </c>
      <c r="I61" s="633"/>
      <c r="J61" s="633"/>
      <c r="L61" s="776" t="s">
        <v>279</v>
      </c>
      <c r="M61" s="777"/>
      <c r="N61" s="777"/>
      <c r="O61" s="778"/>
      <c r="P61" s="593">
        <v>1.334</v>
      </c>
      <c r="Q61" s="593">
        <v>1.334</v>
      </c>
    </row>
    <row r="62" spans="2:17" ht="12.75" customHeight="1">
      <c r="B62" s="776" t="s">
        <v>322</v>
      </c>
      <c r="C62" s="777"/>
      <c r="D62" s="777"/>
      <c r="E62" s="778"/>
      <c r="F62" s="480"/>
      <c r="G62" s="594">
        <f>+'[67]Detalle para CGP (Cupón 123)'!$E$7</f>
        <v>3.1531</v>
      </c>
      <c r="H62" s="594">
        <f>+G62</f>
        <v>3.1531</v>
      </c>
      <c r="I62" s="633"/>
      <c r="J62" s="633"/>
      <c r="L62" s="776" t="s">
        <v>290</v>
      </c>
      <c r="M62" s="777"/>
      <c r="N62" s="777"/>
      <c r="O62" s="778"/>
      <c r="P62" s="594">
        <v>3.0505</v>
      </c>
      <c r="Q62" s="594">
        <v>3.0505</v>
      </c>
    </row>
    <row r="63" spans="2:17" ht="12.75" customHeight="1">
      <c r="B63" s="776" t="s">
        <v>280</v>
      </c>
      <c r="C63" s="777"/>
      <c r="D63" s="777"/>
      <c r="E63" s="778"/>
      <c r="F63" s="480"/>
      <c r="G63" s="595">
        <v>5673157</v>
      </c>
      <c r="H63" s="595">
        <v>352548</v>
      </c>
      <c r="I63" s="633"/>
      <c r="J63" s="633"/>
      <c r="L63" s="776" t="s">
        <v>280</v>
      </c>
      <c r="M63" s="777"/>
      <c r="N63" s="777"/>
      <c r="O63" s="778"/>
      <c r="P63" s="595">
        <v>5673157</v>
      </c>
      <c r="Q63" s="595">
        <v>352548</v>
      </c>
    </row>
    <row r="64" spans="2:17" ht="12.75" customHeight="1">
      <c r="B64" s="776" t="s">
        <v>281</v>
      </c>
      <c r="C64" s="777"/>
      <c r="D64" s="777"/>
      <c r="E64" s="778"/>
      <c r="F64" s="480"/>
      <c r="G64" s="595">
        <v>7656670</v>
      </c>
      <c r="H64" s="595">
        <v>475810</v>
      </c>
      <c r="I64" s="633"/>
      <c r="J64" s="633"/>
      <c r="L64" s="776" t="s">
        <v>281</v>
      </c>
      <c r="M64" s="777"/>
      <c r="N64" s="777"/>
      <c r="O64" s="778"/>
      <c r="P64" s="595">
        <v>7656670</v>
      </c>
      <c r="Q64" s="595">
        <v>475810</v>
      </c>
    </row>
    <row r="65" spans="2:17" ht="12.75" customHeight="1">
      <c r="B65" s="776" t="s">
        <v>282</v>
      </c>
      <c r="C65" s="777"/>
      <c r="D65" s="777"/>
      <c r="E65" s="778"/>
      <c r="F65" s="480"/>
      <c r="G65" s="595">
        <f>+'[67]Detalle para CGP (Cupón 123)'!$D$13</f>
        <v>4303048.539999997</v>
      </c>
      <c r="H65" s="595">
        <f>+'[67]Detalle para CGP (Cupón 123)'!$D$14</f>
        <v>267405.2199999998</v>
      </c>
      <c r="I65" s="633"/>
      <c r="J65" s="633"/>
      <c r="L65" s="776" t="s">
        <v>282</v>
      </c>
      <c r="M65" s="777"/>
      <c r="N65" s="777"/>
      <c r="O65" s="778"/>
      <c r="P65" s="595">
        <v>4486808.62</v>
      </c>
      <c r="Q65" s="595">
        <v>278824.66</v>
      </c>
    </row>
    <row r="66" spans="2:17" ht="12.75" customHeight="1">
      <c r="B66" s="785" t="s">
        <v>323</v>
      </c>
      <c r="C66" s="786"/>
      <c r="D66" s="786"/>
      <c r="E66" s="787"/>
      <c r="F66" s="480"/>
      <c r="G66" s="596">
        <f>+'[67]Detalle para CGP (Cupón 123)'!$E$13</f>
        <v>10170871.136808401</v>
      </c>
      <c r="H66" s="596">
        <f>+'[67]Detalle para CGP (Cupón 123)'!$E$14</f>
        <v>632050.5763798953</v>
      </c>
      <c r="I66" s="633"/>
      <c r="J66" s="633"/>
      <c r="K66" s="489"/>
      <c r="L66" s="785" t="s">
        <v>287</v>
      </c>
      <c r="M66" s="786"/>
      <c r="N66" s="786"/>
      <c r="O66" s="787"/>
      <c r="P66" s="596">
        <v>10260127.029863104</v>
      </c>
      <c r="Q66" s="596">
        <v>637597.2152958061</v>
      </c>
    </row>
    <row r="67" spans="2:17" ht="6.75" customHeight="1">
      <c r="B67" s="533"/>
      <c r="C67" s="533"/>
      <c r="D67" s="533"/>
      <c r="E67" s="533"/>
      <c r="F67" s="480"/>
      <c r="G67" s="535"/>
      <c r="H67" s="535"/>
      <c r="I67" s="633"/>
      <c r="J67" s="633"/>
      <c r="L67" s="533"/>
      <c r="M67" s="533"/>
      <c r="N67" s="533"/>
      <c r="O67" s="533"/>
      <c r="P67" s="535"/>
      <c r="Q67" s="535"/>
    </row>
    <row r="68" spans="2:17" ht="15" customHeight="1">
      <c r="B68" s="784" t="s">
        <v>321</v>
      </c>
      <c r="C68" s="784"/>
      <c r="D68" s="784"/>
      <c r="E68" s="784"/>
      <c r="F68" s="480"/>
      <c r="G68" s="116" t="s">
        <v>252</v>
      </c>
      <c r="H68" s="536">
        <v>41247</v>
      </c>
      <c r="I68" s="630"/>
      <c r="J68" s="630"/>
      <c r="L68" s="784" t="s">
        <v>251</v>
      </c>
      <c r="M68" s="784"/>
      <c r="N68" s="784"/>
      <c r="O68" s="784"/>
      <c r="P68" s="116" t="s">
        <v>252</v>
      </c>
      <c r="Q68" s="536">
        <v>41125</v>
      </c>
    </row>
    <row r="69" spans="2:17" ht="12.75" customHeight="1">
      <c r="B69" s="776" t="s">
        <v>283</v>
      </c>
      <c r="C69" s="777"/>
      <c r="D69" s="777"/>
      <c r="E69" s="778"/>
      <c r="F69" s="480"/>
      <c r="G69" s="715">
        <f>+'[67]Detalle para CGP (Cupón 123)'!$H$13</f>
        <v>16719.24</v>
      </c>
      <c r="H69" s="715">
        <f>+'[67]Detalle para CGP (Cupón 123)'!$H$14</f>
        <v>1038.9899999999943</v>
      </c>
      <c r="I69" s="633"/>
      <c r="J69" s="633"/>
      <c r="L69" s="776" t="s">
        <v>283</v>
      </c>
      <c r="M69" s="777"/>
      <c r="N69" s="777"/>
      <c r="O69" s="778"/>
      <c r="P69" s="484">
        <v>17428.16</v>
      </c>
      <c r="Q69" s="484">
        <v>1083.04</v>
      </c>
    </row>
    <row r="70" spans="2:17" ht="12.75" customHeight="1">
      <c r="B70" s="776" t="s">
        <v>284</v>
      </c>
      <c r="C70" s="777"/>
      <c r="D70" s="777"/>
      <c r="E70" s="778"/>
      <c r="F70" s="480"/>
      <c r="G70" s="715">
        <f>+'[67]Detalle para CGP (Cupón 123)'!$F$13</f>
        <v>45940.02</v>
      </c>
      <c r="H70" s="715">
        <f>+'[67]Detalle para CGP (Cupón 123)'!$F$14</f>
        <v>2854.86</v>
      </c>
      <c r="I70" s="633"/>
      <c r="J70" s="633"/>
      <c r="L70" s="776" t="s">
        <v>284</v>
      </c>
      <c r="M70" s="777"/>
      <c r="N70" s="777"/>
      <c r="O70" s="778"/>
      <c r="P70" s="484">
        <v>45940.02</v>
      </c>
      <c r="Q70" s="484">
        <v>2854.86</v>
      </c>
    </row>
    <row r="71" spans="2:17" ht="12.75" customHeight="1">
      <c r="B71" s="776" t="str">
        <f>+'[67]Detalle para CGP (Cupón 123)'!$G$7</f>
        <v>Ajuste (136,3643178%)</v>
      </c>
      <c r="C71" s="777"/>
      <c r="D71" s="777"/>
      <c r="E71" s="778"/>
      <c r="F71" s="480"/>
      <c r="G71" s="715">
        <f>+'[67]Detalle para CGP (Cupón 123)'!$G$13</f>
        <v>62645.8</v>
      </c>
      <c r="H71" s="715">
        <f>+'[67]Detalle para CGP (Cupón 123)'!$G$14</f>
        <v>3893.01</v>
      </c>
      <c r="I71" s="633"/>
      <c r="J71" s="633"/>
      <c r="L71" s="776" t="s">
        <v>289</v>
      </c>
      <c r="M71" s="777"/>
      <c r="N71" s="777"/>
      <c r="O71" s="778"/>
      <c r="P71" s="484">
        <v>59112.48</v>
      </c>
      <c r="Q71" s="484">
        <v>3673.44</v>
      </c>
    </row>
    <row r="72" spans="2:26" ht="15" customHeight="1">
      <c r="B72" s="783" t="s">
        <v>319</v>
      </c>
      <c r="C72" s="783"/>
      <c r="D72" s="783"/>
      <c r="E72" s="783"/>
      <c r="F72" s="480"/>
      <c r="G72" s="537">
        <f>+SUM(G69:G71)</f>
        <v>125305.06</v>
      </c>
      <c r="H72" s="537">
        <f>+SUM(H69:H71)</f>
        <v>7786.859999999995</v>
      </c>
      <c r="I72" s="631">
        <f>+H72-'[67]Detalle para CGP (Cupón 123)'!$K$14</f>
        <v>0</v>
      </c>
      <c r="J72" s="631">
        <f>+H72-'[67]Detalle para CGP (Cupón 122)'!$K$14</f>
        <v>17.749999999996362</v>
      </c>
      <c r="K72" s="9">
        <f>+H72-'[67]Detalle para CGP (Cupón 119)'!$K$14</f>
        <v>175.51999999999407</v>
      </c>
      <c r="L72" s="783" t="s">
        <v>253</v>
      </c>
      <c r="M72" s="783"/>
      <c r="N72" s="783"/>
      <c r="O72" s="783"/>
      <c r="P72" s="537">
        <v>122480.66</v>
      </c>
      <c r="Q72" s="537">
        <v>7611.34</v>
      </c>
      <c r="R72" s="631">
        <f>+F72-'[67]Detalle para CGP (Cupón 119)'!$K$12</f>
        <v>-203813.43</v>
      </c>
      <c r="Z72" s="9"/>
    </row>
    <row r="73" spans="2:26" ht="15" customHeight="1">
      <c r="B73" s="788" t="s">
        <v>318</v>
      </c>
      <c r="C73" s="788"/>
      <c r="D73" s="788"/>
      <c r="E73" s="788"/>
      <c r="F73" s="480"/>
      <c r="G73" s="795">
        <f>+G72+H72</f>
        <v>133091.91999999998</v>
      </c>
      <c r="H73" s="796"/>
      <c r="I73" s="631"/>
      <c r="J73" s="631"/>
      <c r="K73" s="9"/>
      <c r="L73" s="712"/>
      <c r="M73" s="712"/>
      <c r="N73" s="712"/>
      <c r="O73" s="712"/>
      <c r="P73" s="713"/>
      <c r="Q73" s="713"/>
      <c r="R73" s="631"/>
      <c r="Z73" s="9"/>
    </row>
    <row r="74" spans="2:10" ht="12.75">
      <c r="B74" s="714" t="s">
        <v>317</v>
      </c>
      <c r="F74" s="480"/>
      <c r="I74" s="630"/>
      <c r="J74" s="630"/>
    </row>
    <row r="75" spans="2:17" ht="12.75" customHeight="1">
      <c r="B75" s="775" t="s">
        <v>285</v>
      </c>
      <c r="C75" s="775"/>
      <c r="D75" s="775"/>
      <c r="E75" s="775"/>
      <c r="F75" s="480"/>
      <c r="G75" s="534">
        <f>+G65-G70</f>
        <v>4257108.519999998</v>
      </c>
      <c r="H75" s="534">
        <f>+H65-H70</f>
        <v>264550.3599999998</v>
      </c>
      <c r="I75" s="633"/>
      <c r="J75" s="633"/>
      <c r="K75" s="9"/>
      <c r="L75" s="775" t="s">
        <v>285</v>
      </c>
      <c r="M75" s="775"/>
      <c r="N75" s="775"/>
      <c r="O75" s="775"/>
      <c r="P75" s="534">
        <v>4440868.6</v>
      </c>
      <c r="Q75" s="534">
        <v>275969.8</v>
      </c>
    </row>
    <row r="76" spans="2:17" ht="12.75" customHeight="1">
      <c r="B76" s="782" t="s">
        <v>324</v>
      </c>
      <c r="C76" s="782"/>
      <c r="D76" s="782"/>
      <c r="E76" s="782"/>
      <c r="F76" s="480"/>
      <c r="G76" s="488">
        <f>+G66-G70-G71</f>
        <v>10062285.3168084</v>
      </c>
      <c r="H76" s="488">
        <f>+H66-H70-H71</f>
        <v>625302.7063798953</v>
      </c>
      <c r="I76" s="633"/>
      <c r="J76" s="633"/>
      <c r="K76" s="9"/>
      <c r="L76" s="782" t="s">
        <v>288</v>
      </c>
      <c r="M76" s="782"/>
      <c r="N76" s="782"/>
      <c r="O76" s="782"/>
      <c r="P76" s="488">
        <v>10155074.529863104</v>
      </c>
      <c r="Q76" s="488">
        <v>631068.9152958061</v>
      </c>
    </row>
    <row r="77" spans="2:8" ht="12.75">
      <c r="B77" s="19"/>
      <c r="C77" s="480"/>
      <c r="D77" s="480"/>
      <c r="E77" s="480"/>
      <c r="F77" s="480"/>
      <c r="G77" s="480"/>
      <c r="H77" s="480"/>
    </row>
  </sheetData>
  <sheetProtection/>
  <mergeCells count="40">
    <mergeCell ref="G73:H73"/>
    <mergeCell ref="L72:O72"/>
    <mergeCell ref="L75:O75"/>
    <mergeCell ref="L76:O76"/>
    <mergeCell ref="L68:O68"/>
    <mergeCell ref="L69:O69"/>
    <mergeCell ref="L70:O70"/>
    <mergeCell ref="L71:O71"/>
    <mergeCell ref="L63:O63"/>
    <mergeCell ref="L64:O64"/>
    <mergeCell ref="L65:O65"/>
    <mergeCell ref="L66:O66"/>
    <mergeCell ref="L59:O59"/>
    <mergeCell ref="L60:O60"/>
    <mergeCell ref="L61:O61"/>
    <mergeCell ref="L62:O62"/>
    <mergeCell ref="B60:E60"/>
    <mergeCell ref="B61:E61"/>
    <mergeCell ref="B33:C33"/>
    <mergeCell ref="B55:D55"/>
    <mergeCell ref="B57:H57"/>
    <mergeCell ref="B35:H35"/>
    <mergeCell ref="B76:E76"/>
    <mergeCell ref="B72:E72"/>
    <mergeCell ref="B68:E68"/>
    <mergeCell ref="B66:E66"/>
    <mergeCell ref="B69:E69"/>
    <mergeCell ref="B70:E70"/>
    <mergeCell ref="B71:E71"/>
    <mergeCell ref="B73:E73"/>
    <mergeCell ref="B7:H7"/>
    <mergeCell ref="B25:H25"/>
    <mergeCell ref="B23:C23"/>
    <mergeCell ref="B75:E75"/>
    <mergeCell ref="B62:E62"/>
    <mergeCell ref="B63:E63"/>
    <mergeCell ref="B64:E64"/>
    <mergeCell ref="B65:E65"/>
    <mergeCell ref="H28:H29"/>
    <mergeCell ref="B59:E59"/>
  </mergeCells>
  <printOptions horizontalCentered="1"/>
  <pageMargins left="0" right="0" top="0" bottom="0" header="0" footer="0"/>
  <pageSetup firstPageNumber="11" useFirstPageNumber="1" fitToHeight="1" fitToWidth="1" horizontalDpi="600" verticalDpi="600" orientation="portrait" paperSize="9" scale="79" r:id="rId2"/>
  <headerFooter alignWithMargins="0">
    <oddFooter>&amp;CPágina N°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K172"/>
  <sheetViews>
    <sheetView showGridLines="0" tabSelected="1" zoomScalePageLayoutView="0" workbookViewId="0" topLeftCell="C1">
      <selection activeCell="G7" sqref="G7"/>
    </sheetView>
  </sheetViews>
  <sheetFormatPr defaultColWidth="11.421875" defaultRowHeight="12.75"/>
  <cols>
    <col min="1" max="1" width="4.7109375" style="1" customWidth="1"/>
    <col min="2" max="2" width="12.421875" style="1" customWidth="1"/>
    <col min="3" max="3" width="4.57421875" style="2" customWidth="1"/>
    <col min="4" max="4" width="24.57421875" style="0" bestFit="1" customWidth="1"/>
    <col min="5" max="5" width="13.7109375" style="0" bestFit="1" customWidth="1"/>
    <col min="6" max="6" width="15.00390625" style="0" customWidth="1"/>
    <col min="7" max="7" width="10.8515625" style="0" bestFit="1" customWidth="1"/>
    <col min="8" max="8" width="13.140625" style="0" customWidth="1"/>
    <col min="9" max="9" width="14.140625" style="0" customWidth="1"/>
    <col min="11" max="11" width="8.28125" style="0" customWidth="1"/>
  </cols>
  <sheetData>
    <row r="1" spans="1:11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46" t="s">
        <v>88</v>
      </c>
    </row>
    <row r="2" spans="1:7" ht="18" customHeight="1">
      <c r="A2" s="25"/>
      <c r="B2"/>
      <c r="C2"/>
      <c r="F2" s="24" t="s">
        <v>181</v>
      </c>
      <c r="G2" s="1"/>
    </row>
    <row r="3" spans="1:7" ht="18" customHeight="1">
      <c r="A3" s="25"/>
      <c r="B3"/>
      <c r="C3"/>
      <c r="F3" s="24" t="s">
        <v>180</v>
      </c>
      <c r="G3" s="1"/>
    </row>
    <row r="4" spans="1:11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46" t="s">
        <v>85</v>
      </c>
    </row>
    <row r="5" spans="1:7" ht="12.75">
      <c r="A5" s="16"/>
      <c r="B5"/>
      <c r="C5"/>
      <c r="F5" s="234" t="s">
        <v>325</v>
      </c>
      <c r="G5" s="17"/>
    </row>
    <row r="7" spans="6:7" ht="13.5" thickBot="1">
      <c r="F7" s="156" t="s">
        <v>170</v>
      </c>
      <c r="G7" s="282">
        <v>4.838</v>
      </c>
    </row>
    <row r="8" spans="3:9" ht="19.5" customHeight="1">
      <c r="C8" s="804"/>
      <c r="D8" s="806" t="s">
        <v>19</v>
      </c>
      <c r="E8" s="799" t="s">
        <v>167</v>
      </c>
      <c r="F8" s="799" t="s">
        <v>171</v>
      </c>
      <c r="G8" s="465" t="s">
        <v>217</v>
      </c>
      <c r="H8" s="808" t="s">
        <v>166</v>
      </c>
      <c r="I8" s="797" t="s">
        <v>172</v>
      </c>
    </row>
    <row r="9" spans="3:9" ht="19.5" customHeight="1" thickBot="1">
      <c r="C9" s="805"/>
      <c r="D9" s="807"/>
      <c r="E9" s="800"/>
      <c r="F9" s="800"/>
      <c r="G9" s="466">
        <v>41243</v>
      </c>
      <c r="H9" s="809"/>
      <c r="I9" s="798"/>
    </row>
    <row r="10" spans="3:9" s="11" customFormat="1" ht="13.5" thickBot="1">
      <c r="C10" s="115"/>
      <c r="D10" s="142"/>
      <c r="E10" s="115"/>
      <c r="F10" s="170"/>
      <c r="G10" s="170"/>
      <c r="H10" s="170"/>
      <c r="I10" s="170"/>
    </row>
    <row r="11" spans="3:9" ht="13.5" thickBot="1">
      <c r="C11" s="145"/>
      <c r="D11" s="146"/>
      <c r="E11" s="147"/>
      <c r="F11" s="233"/>
      <c r="G11" s="233"/>
      <c r="H11" s="233"/>
      <c r="I11" s="171"/>
    </row>
    <row r="12" spans="3:9" ht="12.75">
      <c r="C12" s="144"/>
      <c r="D12" s="138" t="s">
        <v>122</v>
      </c>
      <c r="E12" s="253">
        <f>SUM(E13:E24)</f>
        <v>22002762.019999996</v>
      </c>
      <c r="F12" s="253">
        <f>SUM(F13:F24)</f>
        <v>22002762.019999996</v>
      </c>
      <c r="G12" s="253">
        <f>SUM(G13:G24)</f>
        <v>14547530.381287318</v>
      </c>
      <c r="H12" s="253">
        <f>SUM(H13:H24)</f>
        <v>14547530.381287318</v>
      </c>
      <c r="I12" s="254">
        <f>SUM(I13:I24)</f>
        <v>70380951.98466805</v>
      </c>
    </row>
    <row r="13" spans="3:9" ht="12.75">
      <c r="C13" s="217" t="s">
        <v>25</v>
      </c>
      <c r="D13" s="524" t="s">
        <v>1</v>
      </c>
      <c r="E13" s="255">
        <v>2500376.26</v>
      </c>
      <c r="F13" s="255">
        <v>2500376.26</v>
      </c>
      <c r="G13" s="255">
        <f>'RETENCIONES PARTICIPACIÓN'!G15</f>
        <v>1569638.6924691761</v>
      </c>
      <c r="H13" s="318">
        <f>G13</f>
        <v>1569638.6924691761</v>
      </c>
      <c r="I13" s="314">
        <f aca="true" t="shared" si="0" ref="I13:I24">G13*$G$7</f>
        <v>7593911.994165874</v>
      </c>
    </row>
    <row r="14" spans="3:9" ht="12.75">
      <c r="C14" s="219" t="s">
        <v>32</v>
      </c>
      <c r="D14" s="525" t="s">
        <v>21</v>
      </c>
      <c r="E14" s="256">
        <v>1359616.3</v>
      </c>
      <c r="F14" s="256">
        <v>1359616.3</v>
      </c>
      <c r="G14" s="256">
        <f>'RETENCIONES PARTICIPACIÓN'!G21</f>
        <v>949988.2700000005</v>
      </c>
      <c r="H14" s="319">
        <f aca="true" t="shared" si="1" ref="H14:H26">G14</f>
        <v>949988.2700000005</v>
      </c>
      <c r="I14" s="315">
        <f t="shared" si="0"/>
        <v>4596043.250260002</v>
      </c>
    </row>
    <row r="15" spans="3:9" ht="12.75">
      <c r="C15" s="219" t="s">
        <v>35</v>
      </c>
      <c r="D15" s="525" t="s">
        <v>22</v>
      </c>
      <c r="E15" s="256">
        <v>2303529.72</v>
      </c>
      <c r="F15" s="256">
        <v>2303529.72</v>
      </c>
      <c r="G15" s="256">
        <f>'RETENCIONES PARTICIPACIÓN'!G13</f>
        <v>1494551.8626432105</v>
      </c>
      <c r="H15" s="319">
        <f t="shared" si="1"/>
        <v>1494551.8626432105</v>
      </c>
      <c r="I15" s="315">
        <f t="shared" si="0"/>
        <v>7230641.911467852</v>
      </c>
    </row>
    <row r="16" spans="3:9" ht="12.75">
      <c r="C16" s="219" t="s">
        <v>39</v>
      </c>
      <c r="D16" s="525" t="s">
        <v>16</v>
      </c>
      <c r="E16" s="256">
        <v>4936239.09</v>
      </c>
      <c r="F16" s="256">
        <v>4936239.09</v>
      </c>
      <c r="G16" s="256">
        <f>'RETENCIONES PARTICIPACIÓN'!G11</f>
        <v>3202678.870660736</v>
      </c>
      <c r="H16" s="319">
        <f t="shared" si="1"/>
        <v>3202678.870660736</v>
      </c>
      <c r="I16" s="315">
        <f t="shared" si="0"/>
        <v>15494560.376256643</v>
      </c>
    </row>
    <row r="17" spans="3:9" ht="12.75">
      <c r="C17" s="219" t="s">
        <v>41</v>
      </c>
      <c r="D17" s="525" t="s">
        <v>15</v>
      </c>
      <c r="E17" s="256">
        <v>482356.92</v>
      </c>
      <c r="F17" s="256">
        <v>482356.92</v>
      </c>
      <c r="G17" s="256">
        <f>'RETENCIONES PARTICIPACIÓN'!G14</f>
        <v>312957.8855998658</v>
      </c>
      <c r="H17" s="319">
        <f t="shared" si="1"/>
        <v>312957.8855998658</v>
      </c>
      <c r="I17" s="315">
        <f t="shared" si="0"/>
        <v>1514090.2505321507</v>
      </c>
    </row>
    <row r="18" spans="3:9" ht="12.75">
      <c r="C18" s="219" t="s">
        <v>43</v>
      </c>
      <c r="D18" s="525" t="s">
        <v>14</v>
      </c>
      <c r="E18" s="256">
        <v>290740.92</v>
      </c>
      <c r="F18" s="256">
        <v>290740.92</v>
      </c>
      <c r="G18" s="256">
        <f>'RETENCIONES PARTICIPACIÓN'!G19</f>
        <v>203146.0200000003</v>
      </c>
      <c r="H18" s="319">
        <f t="shared" si="1"/>
        <v>203146.0200000003</v>
      </c>
      <c r="I18" s="315">
        <f t="shared" si="0"/>
        <v>982820.4447600015</v>
      </c>
    </row>
    <row r="19" spans="3:9" ht="12.75">
      <c r="C19" s="219" t="s">
        <v>45</v>
      </c>
      <c r="D19" s="525" t="s">
        <v>13</v>
      </c>
      <c r="E19" s="256">
        <v>1161487.42</v>
      </c>
      <c r="F19" s="256">
        <v>1161487.42</v>
      </c>
      <c r="G19" s="256">
        <f>'RETENCIONES PARTICIPACIÓN'!G16</f>
        <v>753584.0379999984</v>
      </c>
      <c r="H19" s="319">
        <f t="shared" si="1"/>
        <v>753584.0379999984</v>
      </c>
      <c r="I19" s="315">
        <f t="shared" si="0"/>
        <v>3645839.5758439926</v>
      </c>
    </row>
    <row r="20" spans="3:9" ht="12.75">
      <c r="C20" s="219" t="s">
        <v>68</v>
      </c>
      <c r="D20" s="525" t="s">
        <v>3</v>
      </c>
      <c r="E20" s="256">
        <v>1083532.83</v>
      </c>
      <c r="F20" s="256">
        <v>1083532.83</v>
      </c>
      <c r="G20" s="256">
        <f>'RETENCIONES PARTICIPACIÓN'!G12</f>
        <v>703006.430763246</v>
      </c>
      <c r="H20" s="319">
        <f t="shared" si="1"/>
        <v>703006.430763246</v>
      </c>
      <c r="I20" s="315">
        <f t="shared" si="0"/>
        <v>3401145.1120325844</v>
      </c>
    </row>
    <row r="21" spans="3:9" ht="12.75">
      <c r="C21" s="219" t="s">
        <v>57</v>
      </c>
      <c r="D21" s="525" t="s">
        <v>12</v>
      </c>
      <c r="E21" s="256">
        <v>1732864.43</v>
      </c>
      <c r="F21" s="256">
        <v>1732864.43</v>
      </c>
      <c r="G21" s="256">
        <f>'RETENCIONES PARTICIPACIÓN'!G17</f>
        <v>1124298.9033385797</v>
      </c>
      <c r="H21" s="319">
        <f t="shared" si="1"/>
        <v>1124298.9033385797</v>
      </c>
      <c r="I21" s="315">
        <f t="shared" si="0"/>
        <v>5439358.094352049</v>
      </c>
    </row>
    <row r="22" spans="3:9" ht="12.75">
      <c r="C22" s="219" t="s">
        <v>58</v>
      </c>
      <c r="D22" s="525" t="s">
        <v>4</v>
      </c>
      <c r="E22" s="256">
        <v>1299302.57</v>
      </c>
      <c r="F22" s="256">
        <v>1299302.57</v>
      </c>
      <c r="G22" s="256">
        <f>'RETENCIONES PARTICIPACIÓN'!G18</f>
        <v>843000.0078125033</v>
      </c>
      <c r="H22" s="319">
        <f t="shared" si="1"/>
        <v>843000.0078125033</v>
      </c>
      <c r="I22" s="315">
        <f t="shared" si="0"/>
        <v>4078434.037796891</v>
      </c>
    </row>
    <row r="23" spans="3:9" ht="12.75">
      <c r="C23" s="219" t="s">
        <v>62</v>
      </c>
      <c r="D23" s="525" t="s">
        <v>10</v>
      </c>
      <c r="E23" s="256">
        <v>367530.83</v>
      </c>
      <c r="F23" s="256">
        <v>367530.83</v>
      </c>
      <c r="G23" s="256">
        <f>'RETENCIONES PARTICIPACIÓN'!G22</f>
        <v>256800.24000000124</v>
      </c>
      <c r="H23" s="319">
        <f t="shared" si="1"/>
        <v>256800.24000000124</v>
      </c>
      <c r="I23" s="315">
        <f t="shared" si="0"/>
        <v>1242399.561120006</v>
      </c>
    </row>
    <row r="24" spans="3:9" ht="12.75">
      <c r="C24" s="220" t="s">
        <v>65</v>
      </c>
      <c r="D24" s="526" t="s">
        <v>11</v>
      </c>
      <c r="E24" s="257">
        <v>4485184.73</v>
      </c>
      <c r="F24" s="257">
        <v>4485184.73</v>
      </c>
      <c r="G24" s="257">
        <f>'RETENCIONES PARTICIPACIÓN'!G20</f>
        <v>3133879.1599999988</v>
      </c>
      <c r="H24" s="320">
        <f t="shared" si="1"/>
        <v>3133879.1599999988</v>
      </c>
      <c r="I24" s="316">
        <f t="shared" si="0"/>
        <v>15161707.376079993</v>
      </c>
    </row>
    <row r="25" spans="3:9" ht="12.75">
      <c r="C25" s="139"/>
      <c r="D25" s="138" t="s">
        <v>124</v>
      </c>
      <c r="E25" s="258">
        <f>+E26</f>
        <v>1082651.11</v>
      </c>
      <c r="F25" s="258">
        <f>+F26</f>
        <v>1082651.11</v>
      </c>
      <c r="G25" s="258">
        <f>+G26</f>
        <v>0</v>
      </c>
      <c r="H25" s="258">
        <f>+H26</f>
        <v>0</v>
      </c>
      <c r="I25" s="259">
        <f>I26</f>
        <v>0</v>
      </c>
    </row>
    <row r="26" spans="3:9" ht="13.5" thickBot="1">
      <c r="C26" s="141" t="s">
        <v>56</v>
      </c>
      <c r="D26" s="527" t="s">
        <v>7</v>
      </c>
      <c r="E26" s="260">
        <v>1082651.11</v>
      </c>
      <c r="F26" s="260">
        <v>1082651.11</v>
      </c>
      <c r="G26" s="260">
        <f>+'[47]Evolución'!$N$42</f>
        <v>0</v>
      </c>
      <c r="H26" s="318">
        <f t="shared" si="1"/>
        <v>0</v>
      </c>
      <c r="I26" s="317">
        <f>G26*$G$7</f>
        <v>0</v>
      </c>
    </row>
    <row r="27" spans="3:9" ht="13.5" thickBot="1">
      <c r="C27" s="136" t="s">
        <v>120</v>
      </c>
      <c r="D27" s="137"/>
      <c r="E27" s="245">
        <f>+E12+E25</f>
        <v>23085413.129999995</v>
      </c>
      <c r="F27" s="245">
        <f>+F12+F25</f>
        <v>23085413.129999995</v>
      </c>
      <c r="G27" s="245">
        <f>+G12+G25</f>
        <v>14547530.381287318</v>
      </c>
      <c r="H27" s="245">
        <f>+H12+H25</f>
        <v>14547530.381287318</v>
      </c>
      <c r="I27" s="261">
        <f>I12+I25</f>
        <v>70380951.98466805</v>
      </c>
    </row>
    <row r="28" spans="3:9" ht="13.5" thickBot="1">
      <c r="C28" s="1"/>
      <c r="D28" s="1"/>
      <c r="E28" s="262"/>
      <c r="F28" s="263"/>
      <c r="G28" s="262"/>
      <c r="H28" s="263"/>
      <c r="I28" s="263"/>
    </row>
    <row r="29" spans="3:9" ht="13.5" thickBot="1">
      <c r="C29" s="148"/>
      <c r="D29" s="149"/>
      <c r="E29" s="264"/>
      <c r="F29" s="264"/>
      <c r="G29" s="264"/>
      <c r="H29" s="264"/>
      <c r="I29" s="265"/>
    </row>
    <row r="30" spans="3:9" ht="12.75">
      <c r="C30" s="151" t="s">
        <v>28</v>
      </c>
      <c r="D30" s="150"/>
      <c r="E30" s="266">
        <v>6976222.4</v>
      </c>
      <c r="F30" s="266">
        <v>6976222.4</v>
      </c>
      <c r="G30" s="266">
        <v>3683618.16</v>
      </c>
      <c r="H30" s="267">
        <v>761392.757337743</v>
      </c>
      <c r="I30" s="266">
        <v>3683618.16</v>
      </c>
    </row>
    <row r="31" spans="3:9" ht="12.75">
      <c r="C31" s="140" t="s">
        <v>24</v>
      </c>
      <c r="D31" s="528" t="s">
        <v>1</v>
      </c>
      <c r="E31" s="260">
        <v>6976222.4</v>
      </c>
      <c r="F31" s="260">
        <v>6976222.4</v>
      </c>
      <c r="G31" s="260">
        <v>3683618.16</v>
      </c>
      <c r="H31" s="321">
        <v>761392.757337743</v>
      </c>
      <c r="I31" s="317">
        <v>3683618.16</v>
      </c>
    </row>
    <row r="32" spans="3:9" s="143" customFormat="1" ht="12.75">
      <c r="C32" s="152"/>
      <c r="D32" s="153" t="s">
        <v>125</v>
      </c>
      <c r="E32" s="259">
        <v>70601385</v>
      </c>
      <c r="F32" s="259">
        <v>64843054.93000001</v>
      </c>
      <c r="G32" s="259">
        <v>27341303.12</v>
      </c>
      <c r="H32" s="258">
        <v>5651364.844977262</v>
      </c>
      <c r="I32" s="259">
        <v>27341303.12</v>
      </c>
    </row>
    <row r="33" spans="3:9" ht="12.75">
      <c r="C33" s="217" t="s">
        <v>26</v>
      </c>
      <c r="D33" s="524" t="s">
        <v>1</v>
      </c>
      <c r="E33" s="255">
        <v>7000000</v>
      </c>
      <c r="F33" s="255">
        <v>6675235.05</v>
      </c>
      <c r="G33" s="255">
        <v>2784639</v>
      </c>
      <c r="H33" s="318">
        <v>575576.4778834232</v>
      </c>
      <c r="I33" s="314">
        <v>2784639</v>
      </c>
    </row>
    <row r="34" spans="3:9" ht="12.75">
      <c r="C34" s="219" t="s">
        <v>33</v>
      </c>
      <c r="D34" s="525" t="s">
        <v>21</v>
      </c>
      <c r="E34" s="256">
        <v>4000000</v>
      </c>
      <c r="F34" s="256">
        <v>3992411.69</v>
      </c>
      <c r="G34" s="256">
        <v>1720240.06</v>
      </c>
      <c r="H34" s="319">
        <v>355568.4291029349</v>
      </c>
      <c r="I34" s="315">
        <v>1720240.06</v>
      </c>
    </row>
    <row r="35" spans="3:9" ht="12.75">
      <c r="C35" s="219" t="s">
        <v>36</v>
      </c>
      <c r="D35" s="525" t="s">
        <v>22</v>
      </c>
      <c r="E35" s="256">
        <v>4000000</v>
      </c>
      <c r="F35" s="256">
        <v>1593894.71</v>
      </c>
      <c r="G35" s="256">
        <v>660508.22</v>
      </c>
      <c r="H35" s="319">
        <v>136525.05580818516</v>
      </c>
      <c r="I35" s="315">
        <v>660508.22</v>
      </c>
    </row>
    <row r="36" spans="3:9" ht="12.75">
      <c r="C36" s="219" t="s">
        <v>40</v>
      </c>
      <c r="D36" s="525" t="s">
        <v>16</v>
      </c>
      <c r="E36" s="256">
        <v>8000000</v>
      </c>
      <c r="F36" s="256">
        <v>7932966.35</v>
      </c>
      <c r="G36" s="256">
        <v>3292897.94</v>
      </c>
      <c r="H36" s="319">
        <v>680632.0669698222</v>
      </c>
      <c r="I36" s="315">
        <v>3292897.94</v>
      </c>
    </row>
    <row r="37" spans="3:9" ht="12.75">
      <c r="C37" s="219" t="s">
        <v>42</v>
      </c>
      <c r="D37" s="525" t="s">
        <v>15</v>
      </c>
      <c r="E37" s="256">
        <v>2000000</v>
      </c>
      <c r="F37" s="256">
        <v>1021027.61</v>
      </c>
      <c r="G37" s="256">
        <v>423112.72</v>
      </c>
      <c r="H37" s="319">
        <v>87456.12236461347</v>
      </c>
      <c r="I37" s="315">
        <v>423112.72</v>
      </c>
    </row>
    <row r="38" spans="3:9" ht="12.75">
      <c r="C38" s="219" t="s">
        <v>44</v>
      </c>
      <c r="D38" s="525" t="s">
        <v>14</v>
      </c>
      <c r="E38" s="256">
        <v>1528385</v>
      </c>
      <c r="F38" s="256">
        <v>1161739.8</v>
      </c>
      <c r="G38" s="256">
        <v>481423.68</v>
      </c>
      <c r="H38" s="319">
        <v>99508.82182720136</v>
      </c>
      <c r="I38" s="315">
        <v>481423.68</v>
      </c>
    </row>
    <row r="39" spans="3:9" ht="12.75">
      <c r="C39" s="219" t="s">
        <v>46</v>
      </c>
      <c r="D39" s="525" t="s">
        <v>13</v>
      </c>
      <c r="E39" s="256">
        <v>6000000</v>
      </c>
      <c r="F39" s="256">
        <v>5964737.43</v>
      </c>
      <c r="G39" s="256">
        <v>2511005.16</v>
      </c>
      <c r="H39" s="319">
        <v>519017.1889210418</v>
      </c>
      <c r="I39" s="315">
        <v>2511005.16</v>
      </c>
    </row>
    <row r="40" spans="3:9" ht="12.75">
      <c r="C40" s="219" t="s">
        <v>48</v>
      </c>
      <c r="D40" s="525" t="s">
        <v>9</v>
      </c>
      <c r="E40" s="256">
        <v>2000000</v>
      </c>
      <c r="F40" s="256">
        <v>2000000</v>
      </c>
      <c r="G40" s="256">
        <v>828797.81</v>
      </c>
      <c r="H40" s="319">
        <v>171310.00620090956</v>
      </c>
      <c r="I40" s="315">
        <v>828797.81</v>
      </c>
    </row>
    <row r="41" spans="3:9" ht="12.75">
      <c r="C41" s="219" t="s">
        <v>50</v>
      </c>
      <c r="D41" s="525" t="s">
        <v>8</v>
      </c>
      <c r="E41" s="256">
        <v>6000000</v>
      </c>
      <c r="F41" s="256">
        <v>6000000</v>
      </c>
      <c r="G41" s="256">
        <v>2486393.38</v>
      </c>
      <c r="H41" s="319">
        <v>513930.0082678797</v>
      </c>
      <c r="I41" s="315">
        <v>2486393.38</v>
      </c>
    </row>
    <row r="42" spans="3:9" ht="12.75">
      <c r="C42" s="219" t="s">
        <v>69</v>
      </c>
      <c r="D42" s="525" t="s">
        <v>3</v>
      </c>
      <c r="E42" s="256">
        <v>6600000</v>
      </c>
      <c r="F42" s="256">
        <v>6600000</v>
      </c>
      <c r="G42" s="256">
        <v>2745217.55</v>
      </c>
      <c r="H42" s="319">
        <v>567428.1831335266</v>
      </c>
      <c r="I42" s="315">
        <v>2745217.55</v>
      </c>
    </row>
    <row r="43" spans="3:9" ht="12.75">
      <c r="C43" s="219" t="s">
        <v>52</v>
      </c>
      <c r="D43" s="525" t="s">
        <v>5</v>
      </c>
      <c r="E43" s="256">
        <v>4798000</v>
      </c>
      <c r="F43" s="256">
        <v>4739105.13</v>
      </c>
      <c r="G43" s="256">
        <v>2016727.11</v>
      </c>
      <c r="H43" s="319">
        <v>416851.4076064487</v>
      </c>
      <c r="I43" s="315">
        <v>2016727.11</v>
      </c>
    </row>
    <row r="44" spans="3:9" ht="12.75">
      <c r="C44" s="219" t="s">
        <v>55</v>
      </c>
      <c r="D44" s="525" t="s">
        <v>7</v>
      </c>
      <c r="E44" s="256">
        <v>2500000</v>
      </c>
      <c r="F44" s="256">
        <v>2415835.74</v>
      </c>
      <c r="G44" s="256">
        <v>1043118.54</v>
      </c>
      <c r="H44" s="319">
        <v>215609.45431996675</v>
      </c>
      <c r="I44" s="315">
        <v>1043118.54</v>
      </c>
    </row>
    <row r="45" spans="3:9" ht="12.75">
      <c r="C45" s="219" t="s">
        <v>169</v>
      </c>
      <c r="D45" s="525" t="s">
        <v>12</v>
      </c>
      <c r="E45" s="256">
        <v>4500000</v>
      </c>
      <c r="F45" s="256">
        <v>4454428.12</v>
      </c>
      <c r="G45" s="256">
        <v>1948621.46</v>
      </c>
      <c r="H45" s="319">
        <v>402774.1752790407</v>
      </c>
      <c r="I45" s="315">
        <v>1948621.46</v>
      </c>
    </row>
    <row r="46" spans="3:9" ht="12.75">
      <c r="C46" s="219" t="s">
        <v>59</v>
      </c>
      <c r="D46" s="525" t="s">
        <v>4</v>
      </c>
      <c r="E46" s="256">
        <v>3075000</v>
      </c>
      <c r="F46" s="256">
        <v>3075000</v>
      </c>
      <c r="G46" s="256">
        <v>1274276.62</v>
      </c>
      <c r="H46" s="319">
        <v>263389.1318726745</v>
      </c>
      <c r="I46" s="315">
        <v>1274276.62</v>
      </c>
    </row>
    <row r="47" spans="3:9" ht="12.75">
      <c r="C47" s="219" t="s">
        <v>63</v>
      </c>
      <c r="D47" s="525" t="s">
        <v>10</v>
      </c>
      <c r="E47" s="256">
        <v>2500000</v>
      </c>
      <c r="F47" s="256">
        <v>2477572.07</v>
      </c>
      <c r="G47" s="256">
        <v>1121914.92</v>
      </c>
      <c r="H47" s="319">
        <v>231896.4282761472</v>
      </c>
      <c r="I47" s="315">
        <v>1121914.92</v>
      </c>
    </row>
    <row r="48" spans="3:9" ht="12.75">
      <c r="C48" s="219" t="s">
        <v>66</v>
      </c>
      <c r="D48" s="525" t="s">
        <v>11</v>
      </c>
      <c r="E48" s="256">
        <v>5000000</v>
      </c>
      <c r="F48" s="256">
        <v>3678760.59</v>
      </c>
      <c r="G48" s="256">
        <v>1535445.25</v>
      </c>
      <c r="H48" s="319">
        <v>317371.8995452666</v>
      </c>
      <c r="I48" s="315">
        <v>1535445.25</v>
      </c>
    </row>
    <row r="49" spans="3:9" ht="12.75">
      <c r="C49" s="220" t="s">
        <v>67</v>
      </c>
      <c r="D49" s="221" t="s">
        <v>6</v>
      </c>
      <c r="E49" s="257">
        <v>1100000</v>
      </c>
      <c r="F49" s="257">
        <v>1060340.64</v>
      </c>
      <c r="G49" s="257">
        <v>466963.7</v>
      </c>
      <c r="H49" s="320">
        <v>96519.98759818106</v>
      </c>
      <c r="I49" s="316">
        <v>466963.7</v>
      </c>
    </row>
    <row r="50" spans="3:9" s="143" customFormat="1" ht="12.75">
      <c r="C50" s="152"/>
      <c r="D50" s="153" t="s">
        <v>27</v>
      </c>
      <c r="E50" s="259">
        <v>20873530</v>
      </c>
      <c r="F50" s="259">
        <v>20873530</v>
      </c>
      <c r="G50" s="259">
        <v>10687588.030000001</v>
      </c>
      <c r="H50" s="258">
        <v>2209092.1930549815</v>
      </c>
      <c r="I50" s="259">
        <v>10687588.030000001</v>
      </c>
    </row>
    <row r="51" spans="3:9" ht="12.75">
      <c r="C51" s="217" t="s">
        <v>34</v>
      </c>
      <c r="D51" s="524" t="s">
        <v>22</v>
      </c>
      <c r="E51" s="255">
        <v>12741050</v>
      </c>
      <c r="F51" s="255">
        <v>12741050</v>
      </c>
      <c r="G51" s="255">
        <v>0</v>
      </c>
      <c r="H51" s="318">
        <v>0</v>
      </c>
      <c r="I51" s="314">
        <v>0</v>
      </c>
    </row>
    <row r="52" spans="3:9" ht="12.75">
      <c r="C52" s="219" t="s">
        <v>49</v>
      </c>
      <c r="D52" s="525" t="s">
        <v>8</v>
      </c>
      <c r="E52" s="256">
        <v>7656670</v>
      </c>
      <c r="F52" s="256">
        <v>7656670</v>
      </c>
      <c r="G52" s="256">
        <v>10062285.32</v>
      </c>
      <c r="H52" s="319">
        <v>2079844.0099214553</v>
      </c>
      <c r="I52" s="315">
        <v>10062285.32</v>
      </c>
    </row>
    <row r="53" spans="3:9" ht="12.75">
      <c r="C53" s="220" t="s">
        <v>64</v>
      </c>
      <c r="D53" s="526" t="s">
        <v>11</v>
      </c>
      <c r="E53" s="257">
        <v>475810</v>
      </c>
      <c r="F53" s="257">
        <v>475810</v>
      </c>
      <c r="G53" s="257">
        <v>625302.71</v>
      </c>
      <c r="H53" s="320">
        <v>129248.18313352624</v>
      </c>
      <c r="I53" s="316">
        <v>625302.71</v>
      </c>
    </row>
    <row r="54" spans="3:9" s="143" customFormat="1" ht="12.75">
      <c r="C54" s="152"/>
      <c r="D54" s="153" t="s">
        <v>208</v>
      </c>
      <c r="E54" s="259">
        <v>49255000</v>
      </c>
      <c r="F54" s="259">
        <v>49255000</v>
      </c>
      <c r="G54" s="259">
        <v>30714552.090000004</v>
      </c>
      <c r="H54" s="258">
        <v>6348605.227366681</v>
      </c>
      <c r="I54" s="259">
        <v>30714552.090000004</v>
      </c>
    </row>
    <row r="55" spans="3:9" s="143" customFormat="1" ht="12.75" hidden="1">
      <c r="C55" s="217"/>
      <c r="D55" s="218" t="s">
        <v>196</v>
      </c>
      <c r="E55" s="255"/>
      <c r="F55" s="255"/>
      <c r="G55" s="255"/>
      <c r="H55" s="318"/>
      <c r="I55" s="314"/>
    </row>
    <row r="56" spans="3:9" ht="12.75">
      <c r="C56" s="219" t="s">
        <v>37</v>
      </c>
      <c r="D56" s="525" t="s">
        <v>22</v>
      </c>
      <c r="E56" s="256">
        <v>7000000</v>
      </c>
      <c r="F56" s="256">
        <v>7000000</v>
      </c>
      <c r="G56" s="256">
        <v>1150818.37</v>
      </c>
      <c r="H56" s="319">
        <v>237870.68416701138</v>
      </c>
      <c r="I56" s="315">
        <v>1150818.37</v>
      </c>
    </row>
    <row r="57" spans="3:9" ht="12.75">
      <c r="C57" s="219" t="s">
        <v>272</v>
      </c>
      <c r="D57" s="525" t="s">
        <v>16</v>
      </c>
      <c r="E57" s="256">
        <v>8000000</v>
      </c>
      <c r="F57" s="256">
        <v>8000000</v>
      </c>
      <c r="G57" s="256">
        <v>7703970.48</v>
      </c>
      <c r="H57" s="319">
        <v>1592387.4493592393</v>
      </c>
      <c r="I57" s="315">
        <v>7703970.48</v>
      </c>
    </row>
    <row r="58" spans="3:9" ht="12.75">
      <c r="C58" s="219" t="s">
        <v>177</v>
      </c>
      <c r="D58" s="525" t="s">
        <v>3</v>
      </c>
      <c r="E58" s="256">
        <v>8000000</v>
      </c>
      <c r="F58" s="256">
        <v>8000000</v>
      </c>
      <c r="G58" s="256">
        <v>3282148.46</v>
      </c>
      <c r="H58" s="319">
        <v>678410.1818933444</v>
      </c>
      <c r="I58" s="315">
        <v>3282148.46</v>
      </c>
    </row>
    <row r="59" spans="3:9" ht="12.75">
      <c r="C59" s="219" t="s">
        <v>192</v>
      </c>
      <c r="D59" s="525" t="s">
        <v>23</v>
      </c>
      <c r="E59" s="256">
        <v>2000000</v>
      </c>
      <c r="F59" s="256">
        <v>2000000</v>
      </c>
      <c r="G59" s="256">
        <v>1006724.01</v>
      </c>
      <c r="H59" s="319">
        <v>208086.8147995039</v>
      </c>
      <c r="I59" s="315">
        <v>1006724.01</v>
      </c>
    </row>
    <row r="60" spans="3:9" ht="12.75">
      <c r="C60" s="521" t="s">
        <v>265</v>
      </c>
      <c r="D60" s="525" t="s">
        <v>12</v>
      </c>
      <c r="E60" s="256">
        <v>11500000</v>
      </c>
      <c r="F60" s="256">
        <v>11500000</v>
      </c>
      <c r="G60" s="256">
        <v>10575412.21</v>
      </c>
      <c r="H60" s="319">
        <v>2185905.7895824723</v>
      </c>
      <c r="I60" s="315">
        <v>10575412.21</v>
      </c>
    </row>
    <row r="61" spans="3:9" ht="12.75">
      <c r="C61" s="219" t="s">
        <v>60</v>
      </c>
      <c r="D61" s="525" t="s">
        <v>4</v>
      </c>
      <c r="E61" s="256">
        <v>3200000</v>
      </c>
      <c r="F61" s="256">
        <v>3200000</v>
      </c>
      <c r="G61" s="256">
        <v>0</v>
      </c>
      <c r="H61" s="319">
        <v>0</v>
      </c>
      <c r="I61" s="315">
        <v>0</v>
      </c>
    </row>
    <row r="62" spans="3:9" ht="12.75">
      <c r="C62" s="219" t="s">
        <v>194</v>
      </c>
      <c r="D62" s="529" t="s">
        <v>4</v>
      </c>
      <c r="E62" s="256">
        <v>4500000</v>
      </c>
      <c r="F62" s="256">
        <v>4500000</v>
      </c>
      <c r="G62" s="256">
        <v>2881139.85</v>
      </c>
      <c r="H62" s="319">
        <v>595522.9123604794</v>
      </c>
      <c r="I62" s="315">
        <v>2881139.85</v>
      </c>
    </row>
    <row r="63" spans="3:9" ht="12.75">
      <c r="C63" s="220" t="s">
        <v>195</v>
      </c>
      <c r="D63" s="530" t="s">
        <v>10</v>
      </c>
      <c r="E63" s="257">
        <v>5055000</v>
      </c>
      <c r="F63" s="257">
        <v>5055000</v>
      </c>
      <c r="G63" s="257">
        <v>4114338.71</v>
      </c>
      <c r="H63" s="320">
        <v>850421.3952046306</v>
      </c>
      <c r="I63" s="316">
        <v>4114338.71</v>
      </c>
    </row>
    <row r="64" spans="3:9" s="143" customFormat="1" ht="12.75">
      <c r="C64" s="152"/>
      <c r="D64" s="153" t="s">
        <v>130</v>
      </c>
      <c r="E64" s="259">
        <v>19630234.2</v>
      </c>
      <c r="F64" s="259">
        <v>19630234.38</v>
      </c>
      <c r="G64" s="259">
        <v>12856520.67</v>
      </c>
      <c r="H64" s="258">
        <v>2657404.024390244</v>
      </c>
      <c r="I64" s="259">
        <v>12856520.67</v>
      </c>
    </row>
    <row r="65" spans="3:9" ht="12.75">
      <c r="C65" s="217" t="s">
        <v>38</v>
      </c>
      <c r="D65" s="524" t="s">
        <v>16</v>
      </c>
      <c r="E65" s="255">
        <v>4053274.8</v>
      </c>
      <c r="F65" s="255">
        <v>4053274.8</v>
      </c>
      <c r="G65" s="255">
        <v>731841.3</v>
      </c>
      <c r="H65" s="318">
        <v>151269.38817693252</v>
      </c>
      <c r="I65" s="314">
        <v>731841.3</v>
      </c>
    </row>
    <row r="66" spans="3:9" ht="12.75">
      <c r="C66" s="219" t="s">
        <v>61</v>
      </c>
      <c r="D66" s="525" t="s">
        <v>10</v>
      </c>
      <c r="E66" s="256">
        <v>639244.4</v>
      </c>
      <c r="F66" s="256">
        <v>639244.4</v>
      </c>
      <c r="G66" s="256">
        <v>138502.97</v>
      </c>
      <c r="H66" s="319">
        <v>28628.145928069516</v>
      </c>
      <c r="I66" s="315">
        <v>138502.97</v>
      </c>
    </row>
    <row r="67" spans="3:9" ht="12.75">
      <c r="C67" s="219" t="s">
        <v>291</v>
      </c>
      <c r="D67" s="668" t="s">
        <v>22</v>
      </c>
      <c r="E67" s="256">
        <v>14937715</v>
      </c>
      <c r="F67" s="256">
        <v>14937715.18</v>
      </c>
      <c r="G67" s="256">
        <v>11986176.4</v>
      </c>
      <c r="H67" s="319">
        <v>2477506.490285242</v>
      </c>
      <c r="I67" s="315">
        <v>11986176.4</v>
      </c>
    </row>
    <row r="68" spans="3:9" ht="12.75" hidden="1">
      <c r="C68" s="219"/>
      <c r="D68" s="658" t="s">
        <v>8</v>
      </c>
      <c r="E68" s="256"/>
      <c r="F68" s="256"/>
      <c r="G68" s="256"/>
      <c r="H68" s="319"/>
      <c r="I68" s="315"/>
    </row>
    <row r="69" spans="3:9" ht="12.75" hidden="1">
      <c r="C69" s="220"/>
      <c r="D69" s="486" t="s">
        <v>11</v>
      </c>
      <c r="E69" s="257"/>
      <c r="F69" s="257"/>
      <c r="G69" s="257"/>
      <c r="H69" s="320"/>
      <c r="I69" s="316"/>
    </row>
    <row r="70" spans="3:9" s="143" customFormat="1" ht="12.75">
      <c r="C70" s="152"/>
      <c r="D70" s="134" t="s">
        <v>179</v>
      </c>
      <c r="E70" s="259">
        <v>27089199.08</v>
      </c>
      <c r="F70" s="259">
        <v>27089199.08</v>
      </c>
      <c r="G70" s="259">
        <v>23352388.980000004</v>
      </c>
      <c r="H70" s="258">
        <v>4826868.329888384</v>
      </c>
      <c r="I70" s="259">
        <v>23352388.980000004</v>
      </c>
    </row>
    <row r="71" spans="3:9" s="143" customFormat="1" ht="12.75">
      <c r="C71" s="217" t="s">
        <v>190</v>
      </c>
      <c r="D71" s="531" t="str">
        <f>+'PAGOS ANUALES'!A75</f>
        <v>Capital (Supervielle)</v>
      </c>
      <c r="E71" s="255">
        <v>16000000</v>
      </c>
      <c r="F71" s="255">
        <v>16000000</v>
      </c>
      <c r="G71" s="256">
        <v>14738649.120000001</v>
      </c>
      <c r="H71" s="318">
        <v>3046434.2951632906</v>
      </c>
      <c r="I71" s="314">
        <v>14738649.120000001</v>
      </c>
    </row>
    <row r="72" spans="3:9" ht="12.75">
      <c r="C72" s="219" t="s">
        <v>178</v>
      </c>
      <c r="D72" s="532" t="str">
        <f>+'PAGOS ANUALES'!A76</f>
        <v>Luján (Credicoop)</v>
      </c>
      <c r="E72" s="256">
        <v>2200000</v>
      </c>
      <c r="F72" s="256">
        <v>2200000</v>
      </c>
      <c r="G72" s="256">
        <v>1554476.96</v>
      </c>
      <c r="H72" s="319">
        <v>321305.69656883006</v>
      </c>
      <c r="I72" s="315">
        <v>1554476.96</v>
      </c>
    </row>
    <row r="73" spans="3:9" ht="12.75">
      <c r="C73" s="219" t="s">
        <v>51</v>
      </c>
      <c r="D73" s="532" t="str">
        <f>+'PAGOS ANUALES'!A77</f>
        <v>Maipú (ENOSHA)</v>
      </c>
      <c r="E73" s="256">
        <v>5208879.08</v>
      </c>
      <c r="F73" s="256">
        <v>5208879.08</v>
      </c>
      <c r="G73" s="256">
        <v>3774453.9</v>
      </c>
      <c r="H73" s="319">
        <v>780168.2306738326</v>
      </c>
      <c r="I73" s="315">
        <v>3774453.9</v>
      </c>
    </row>
    <row r="74" spans="3:9" ht="12.75">
      <c r="C74" s="219" t="s">
        <v>69</v>
      </c>
      <c r="D74" s="532" t="str">
        <f>+'PAGOS ANUALES'!A78</f>
        <v>San Martín (Superville)</v>
      </c>
      <c r="E74" s="256">
        <v>2500000</v>
      </c>
      <c r="F74" s="256">
        <v>2500000</v>
      </c>
      <c r="G74" s="256">
        <v>2330717</v>
      </c>
      <c r="H74" s="319">
        <v>481752.17031831335</v>
      </c>
      <c r="I74" s="315">
        <v>2330717</v>
      </c>
    </row>
    <row r="75" spans="3:9" ht="13.5" thickBot="1">
      <c r="C75" s="305" t="s">
        <v>184</v>
      </c>
      <c r="D75" s="434" t="str">
        <f>+'PAGOS ANUALES'!A79</f>
        <v>Tupungato (DAABO)</v>
      </c>
      <c r="E75" s="313">
        <v>1180320</v>
      </c>
      <c r="F75" s="313">
        <v>1180320</v>
      </c>
      <c r="G75" s="313">
        <v>954092</v>
      </c>
      <c r="H75" s="402">
        <v>197207.9371641174</v>
      </c>
      <c r="I75" s="403">
        <v>954092</v>
      </c>
    </row>
    <row r="76" spans="3:9" s="143" customFormat="1" ht="15" customHeight="1" thickBot="1">
      <c r="C76" s="154" t="s">
        <v>121</v>
      </c>
      <c r="D76" s="154"/>
      <c r="E76" s="261">
        <v>194425570.68</v>
      </c>
      <c r="F76" s="261">
        <v>188667240.79000002</v>
      </c>
      <c r="G76" s="261">
        <v>108635971.05000001</v>
      </c>
      <c r="H76" s="245">
        <v>22454727.377015296</v>
      </c>
      <c r="I76" s="261">
        <v>108635971.05000001</v>
      </c>
    </row>
    <row r="77" spans="4:7" ht="13.5" thickBot="1">
      <c r="D77" s="2"/>
      <c r="E77" s="222"/>
      <c r="F77" s="13"/>
      <c r="G77" s="222"/>
    </row>
    <row r="78" spans="3:9" ht="13.5" thickBot="1">
      <c r="C78" s="801" t="s">
        <v>168</v>
      </c>
      <c r="D78" s="802"/>
      <c r="E78" s="802"/>
      <c r="F78" s="802"/>
      <c r="G78" s="803"/>
      <c r="H78" s="245">
        <v>37002257.758302614</v>
      </c>
      <c r="I78" s="261">
        <v>179016923.03466806</v>
      </c>
    </row>
    <row r="80" spans="3:9" ht="12.75">
      <c r="C80" s="1"/>
      <c r="F80" s="13"/>
      <c r="H80" s="13"/>
      <c r="I80" s="13"/>
    </row>
    <row r="81" spans="3:6" ht="12.75">
      <c r="C81" s="1"/>
      <c r="F81" s="13"/>
    </row>
    <row r="82" spans="3:6" ht="12.75">
      <c r="C82" s="1"/>
      <c r="F82" s="13"/>
    </row>
    <row r="83" spans="3:6" ht="12.75">
      <c r="C83" s="1"/>
      <c r="F83" s="13"/>
    </row>
    <row r="84" spans="3:6" ht="12.75">
      <c r="C84" s="1"/>
      <c r="F84" s="13"/>
    </row>
    <row r="85" spans="3:6" ht="12.75">
      <c r="C85" s="1"/>
      <c r="F85" s="13"/>
    </row>
    <row r="86" spans="3:6" ht="12.75">
      <c r="C86" s="1"/>
      <c r="F86" s="13"/>
    </row>
    <row r="87" spans="3:6" ht="12.75">
      <c r="C87" s="1"/>
      <c r="F87" s="13"/>
    </row>
    <row r="88" ht="12.75">
      <c r="F88" s="13"/>
    </row>
    <row r="89" ht="12.75">
      <c r="F89" s="13"/>
    </row>
    <row r="90" ht="12.75">
      <c r="F90" s="13"/>
    </row>
    <row r="91" ht="12.75">
      <c r="F91" s="13"/>
    </row>
    <row r="92" ht="12.75">
      <c r="F92" s="13"/>
    </row>
    <row r="93" ht="12.75">
      <c r="F93" s="13"/>
    </row>
    <row r="94" ht="12.75">
      <c r="F94" s="13"/>
    </row>
    <row r="95" ht="12.75">
      <c r="F95" s="13"/>
    </row>
    <row r="96" ht="12.75">
      <c r="F96" s="13"/>
    </row>
    <row r="97" ht="12.75">
      <c r="F97" s="13"/>
    </row>
    <row r="98" ht="12.75">
      <c r="F98" s="13"/>
    </row>
    <row r="99" ht="12.75">
      <c r="F99" s="13"/>
    </row>
    <row r="100" ht="12.75">
      <c r="F100" s="13"/>
    </row>
    <row r="101" ht="12.75">
      <c r="F101" s="13"/>
    </row>
    <row r="102" ht="12.75">
      <c r="F102" s="13"/>
    </row>
    <row r="103" ht="12.75">
      <c r="F103" s="13"/>
    </row>
    <row r="104" ht="12.75">
      <c r="F104" s="13"/>
    </row>
    <row r="105" ht="12.75">
      <c r="F105" s="13"/>
    </row>
    <row r="106" ht="12.75">
      <c r="F106" s="13"/>
    </row>
    <row r="107" ht="12.75">
      <c r="F107" s="13"/>
    </row>
    <row r="108" ht="12.75">
      <c r="F108" s="13"/>
    </row>
    <row r="109" ht="12.75">
      <c r="F109" s="13"/>
    </row>
    <row r="110" ht="12.75">
      <c r="F110" s="13"/>
    </row>
    <row r="111" ht="12.75">
      <c r="F111" s="13"/>
    </row>
    <row r="112" ht="12.75">
      <c r="F112" s="13"/>
    </row>
    <row r="113" ht="12.75">
      <c r="F113" s="13"/>
    </row>
    <row r="114" ht="12.75">
      <c r="F114" s="13"/>
    </row>
    <row r="115" ht="12.75">
      <c r="F115" s="13"/>
    </row>
    <row r="116" ht="12.75">
      <c r="F116" s="13"/>
    </row>
    <row r="117" ht="12.75">
      <c r="F117" s="13"/>
    </row>
    <row r="118" ht="12.75">
      <c r="F118" s="13"/>
    </row>
    <row r="119" ht="12.75">
      <c r="F119" s="13"/>
    </row>
    <row r="120" ht="12.75">
      <c r="F120" s="13"/>
    </row>
    <row r="121" ht="12.75">
      <c r="F121" s="13"/>
    </row>
    <row r="122" ht="12.75">
      <c r="F122" s="13"/>
    </row>
    <row r="123" ht="12.75">
      <c r="F123" s="13"/>
    </row>
    <row r="124" ht="12.75">
      <c r="F124" s="13"/>
    </row>
    <row r="125" ht="12.75">
      <c r="F125" s="13"/>
    </row>
    <row r="126" ht="12.75">
      <c r="F126" s="13"/>
    </row>
    <row r="127" ht="12.75">
      <c r="F127" s="13"/>
    </row>
    <row r="129" ht="12.75">
      <c r="F129" s="13"/>
    </row>
    <row r="130" ht="12.75">
      <c r="F130" s="13"/>
    </row>
    <row r="131" ht="12.75">
      <c r="F131" s="13"/>
    </row>
    <row r="132" ht="12.75">
      <c r="F132" s="13"/>
    </row>
    <row r="133" ht="12.75">
      <c r="F133" s="13"/>
    </row>
    <row r="134" ht="12.75">
      <c r="F134" s="13"/>
    </row>
    <row r="135" ht="12.75">
      <c r="F135" s="13"/>
    </row>
    <row r="136" ht="12.75">
      <c r="F136" s="13"/>
    </row>
    <row r="137" ht="12.75">
      <c r="F137" s="13"/>
    </row>
    <row r="138" ht="12.75">
      <c r="F138" s="13"/>
    </row>
    <row r="139" ht="12.75">
      <c r="F139" s="13"/>
    </row>
    <row r="140" ht="12.75">
      <c r="F140" s="13"/>
    </row>
    <row r="141" ht="12.75">
      <c r="F141" s="13"/>
    </row>
    <row r="142" ht="12.75">
      <c r="F142" s="13"/>
    </row>
    <row r="143" ht="12.75">
      <c r="F143" s="13"/>
    </row>
    <row r="144" ht="12.75">
      <c r="F144" s="13"/>
    </row>
    <row r="145" ht="12.75">
      <c r="F145" s="13"/>
    </row>
    <row r="146" ht="12.75">
      <c r="F146" s="13"/>
    </row>
    <row r="147" ht="12.75">
      <c r="F147" s="13"/>
    </row>
    <row r="148" ht="12.75">
      <c r="F148" s="13"/>
    </row>
    <row r="149" ht="12.75">
      <c r="F149" s="13"/>
    </row>
    <row r="150" ht="12.75">
      <c r="F150" s="13"/>
    </row>
    <row r="151" ht="12.75">
      <c r="F151" s="13"/>
    </row>
    <row r="152" ht="12.75">
      <c r="F152" s="13"/>
    </row>
    <row r="153" ht="12.75">
      <c r="F153" s="13"/>
    </row>
    <row r="154" ht="12.75">
      <c r="F154" s="13"/>
    </row>
    <row r="155" ht="12.75">
      <c r="F155" s="13"/>
    </row>
    <row r="156" ht="12.75">
      <c r="F156" s="13"/>
    </row>
    <row r="157" ht="12.75">
      <c r="F157" s="13"/>
    </row>
    <row r="158" ht="12.75">
      <c r="F158" s="13"/>
    </row>
    <row r="159" ht="12.75">
      <c r="F159" s="13"/>
    </row>
    <row r="160" ht="12.75">
      <c r="F160" s="13"/>
    </row>
    <row r="161" ht="12.75">
      <c r="F161" s="13"/>
    </row>
    <row r="162" ht="12.75">
      <c r="F162" s="13"/>
    </row>
    <row r="163" ht="12.75">
      <c r="F163" s="13"/>
    </row>
    <row r="164" ht="12.75">
      <c r="F164" s="13"/>
    </row>
    <row r="165" ht="12.75">
      <c r="F165" s="13"/>
    </row>
    <row r="166" ht="12.75">
      <c r="F166" s="13"/>
    </row>
    <row r="167" ht="12.75">
      <c r="F167" s="13"/>
    </row>
    <row r="168" ht="12.75">
      <c r="F168" s="13"/>
    </row>
    <row r="169" ht="12.75">
      <c r="F169" s="13"/>
    </row>
    <row r="170" ht="12.75">
      <c r="F170" s="13"/>
    </row>
    <row r="171" ht="12.75">
      <c r="F171" s="13"/>
    </row>
    <row r="172" ht="12.75">
      <c r="F172" s="13"/>
    </row>
  </sheetData>
  <sheetProtection/>
  <mergeCells count="7">
    <mergeCell ref="I8:I9"/>
    <mergeCell ref="F8:F9"/>
    <mergeCell ref="E8:E9"/>
    <mergeCell ref="C78:G78"/>
    <mergeCell ref="C8:C9"/>
    <mergeCell ref="D8:D9"/>
    <mergeCell ref="H8:H9"/>
  </mergeCells>
  <printOptions horizontalCentered="1"/>
  <pageMargins left="0" right="0" top="0" bottom="0" header="0" footer="0.3937007874015748"/>
  <pageSetup firstPageNumber="12" useFirstPageNumber="1" horizontalDpi="600" verticalDpi="600" orientation="portrait" paperSize="9" scale="75" r:id="rId2"/>
  <headerFooter alignWithMargins="0">
    <oddFooter>&amp;CPágina Nº &amp;P</oddFooter>
  </headerFooter>
  <ignoredErrors>
    <ignoredError sqref="H25:I25" formula="1"/>
    <ignoredError sqref="C60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L82"/>
  <sheetViews>
    <sheetView showGridLines="0" showZeros="0" zoomScalePageLayoutView="0" workbookViewId="0" topLeftCell="A2">
      <selection activeCell="G6" sqref="G6"/>
    </sheetView>
  </sheetViews>
  <sheetFormatPr defaultColWidth="11.421875" defaultRowHeight="12.75"/>
  <cols>
    <col min="1" max="1" width="5.7109375" style="0" customWidth="1"/>
    <col min="2" max="2" width="25.421875" style="0" customWidth="1"/>
    <col min="3" max="3" width="12.7109375" style="0" bestFit="1" customWidth="1"/>
    <col min="4" max="4" width="12.00390625" style="0" customWidth="1"/>
    <col min="5" max="5" width="5.7109375" style="0" customWidth="1"/>
    <col min="6" max="6" width="14.7109375" style="0" bestFit="1" customWidth="1"/>
    <col min="7" max="7" width="13.8515625" style="0" customWidth="1"/>
    <col min="8" max="8" width="5.421875" style="0" customWidth="1"/>
    <col min="9" max="9" width="11.57421875" style="0" customWidth="1"/>
    <col min="10" max="10" width="10.57421875" style="0" customWidth="1"/>
    <col min="11" max="11" width="10.140625" style="0" customWidth="1"/>
    <col min="12" max="12" width="5.00390625" style="0" customWidth="1"/>
  </cols>
  <sheetData>
    <row r="1" spans="1:11" s="54" customFormat="1" ht="24" customHeight="1">
      <c r="A1" s="47" t="s">
        <v>98</v>
      </c>
      <c r="B1" s="21"/>
      <c r="C1" s="21"/>
      <c r="D1" s="21"/>
      <c r="E1" s="21"/>
      <c r="F1" s="21"/>
      <c r="G1" s="21"/>
      <c r="H1" s="21"/>
      <c r="I1" s="21"/>
      <c r="J1" s="21"/>
      <c r="K1" s="46" t="s">
        <v>88</v>
      </c>
    </row>
    <row r="2" spans="1:5" ht="18" customHeight="1">
      <c r="A2" s="25"/>
      <c r="D2" s="1"/>
      <c r="E2" s="24" t="s">
        <v>305</v>
      </c>
    </row>
    <row r="3" spans="1:5" ht="18" customHeight="1">
      <c r="A3" s="25"/>
      <c r="D3" s="1"/>
      <c r="E3" s="24" t="s">
        <v>306</v>
      </c>
    </row>
    <row r="4" spans="1:11" s="54" customFormat="1" ht="24" customHeight="1">
      <c r="A4" s="47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46" t="s">
        <v>85</v>
      </c>
    </row>
    <row r="5" spans="1:5" ht="12.75">
      <c r="A5" s="16"/>
      <c r="D5" s="17"/>
      <c r="E5" s="234" t="s">
        <v>325</v>
      </c>
    </row>
    <row r="6" spans="4:7" ht="13.5" thickBot="1">
      <c r="D6" s="156"/>
      <c r="F6" s="156" t="s">
        <v>170</v>
      </c>
      <c r="G6" s="283">
        <v>4.838</v>
      </c>
    </row>
    <row r="7" spans="2:10" ht="18" customHeight="1" thickBot="1">
      <c r="B7" s="810" t="s">
        <v>152</v>
      </c>
      <c r="C7" s="812" t="s">
        <v>153</v>
      </c>
      <c r="D7" s="813"/>
      <c r="F7" s="812" t="s">
        <v>154</v>
      </c>
      <c r="G7" s="813"/>
      <c r="I7" s="797" t="s">
        <v>161</v>
      </c>
      <c r="J7" s="797" t="s">
        <v>258</v>
      </c>
    </row>
    <row r="8" spans="2:10" ht="18" customHeight="1" thickBot="1">
      <c r="B8" s="811"/>
      <c r="C8" s="196" t="s">
        <v>155</v>
      </c>
      <c r="D8" s="195" t="s">
        <v>156</v>
      </c>
      <c r="F8" s="157" t="s">
        <v>157</v>
      </c>
      <c r="G8" s="188" t="s">
        <v>158</v>
      </c>
      <c r="I8" s="798"/>
      <c r="J8" s="798"/>
    </row>
    <row r="9" spans="2:10" ht="13.5" thickBot="1">
      <c r="B9" s="191" t="s">
        <v>1</v>
      </c>
      <c r="C9" s="211">
        <f>SUM(C10:C13)</f>
        <v>21206906.28</v>
      </c>
      <c r="D9" s="211">
        <f>SUM(D10:D13)</f>
        <v>1569638.6924691761</v>
      </c>
      <c r="F9" s="722">
        <f>SUM(F10:F13)</f>
        <v>28800818.270000003</v>
      </c>
      <c r="G9" s="240">
        <f>SUM(G10:G13)</f>
        <v>5953042.222853633</v>
      </c>
      <c r="I9" s="238">
        <f>SUM(I10:I13)</f>
        <v>14062169.154165875</v>
      </c>
      <c r="J9" s="495">
        <f>+(I9/F9)</f>
        <v>0.48825588989648777</v>
      </c>
    </row>
    <row r="10" spans="2:9" ht="12.75">
      <c r="B10" s="190" t="s">
        <v>173</v>
      </c>
      <c r="C10" s="212"/>
      <c r="D10" s="212">
        <f>'STOCK X ORIGEN'!G13</f>
        <v>1569638.6924691761</v>
      </c>
      <c r="F10" s="723">
        <f>ROUND(+D10*$G$6,2)</f>
        <v>7593911.99</v>
      </c>
      <c r="G10" s="216">
        <f>+D10</f>
        <v>1569638.6924691761</v>
      </c>
      <c r="I10" s="490">
        <f>+G10*$G$6</f>
        <v>7593911.994165874</v>
      </c>
    </row>
    <row r="11" spans="2:9" ht="12.75">
      <c r="B11" s="190" t="s">
        <v>28</v>
      </c>
      <c r="C11" s="212">
        <f>'STOCK X ORIGEN'!G31</f>
        <v>3683618.16</v>
      </c>
      <c r="D11" s="212"/>
      <c r="F11" s="723">
        <f>+C11</f>
        <v>3683618.16</v>
      </c>
      <c r="G11" s="216">
        <f>+C11/$G$6</f>
        <v>761392.7573377428</v>
      </c>
      <c r="I11" s="490">
        <f>+F11</f>
        <v>3683618.16</v>
      </c>
    </row>
    <row r="12" spans="2:9" ht="12.75">
      <c r="B12" s="190" t="s">
        <v>125</v>
      </c>
      <c r="C12" s="212">
        <f>'STOCK X ORIGEN'!G33</f>
        <v>2784639</v>
      </c>
      <c r="D12" s="212"/>
      <c r="F12" s="723">
        <f>+C12</f>
        <v>2784639</v>
      </c>
      <c r="G12" s="216">
        <f>+C12/$G$6</f>
        <v>575576.4778834229</v>
      </c>
      <c r="I12" s="490">
        <f>+F12</f>
        <v>2784639</v>
      </c>
    </row>
    <row r="13" spans="2:9" ht="13.5" thickBot="1">
      <c r="B13" s="193" t="s">
        <v>199</v>
      </c>
      <c r="C13" s="213">
        <f>'STOCK X ORIGEN'!G71</f>
        <v>14738649.120000001</v>
      </c>
      <c r="D13" s="213"/>
      <c r="F13" s="724">
        <f>+C13</f>
        <v>14738649.120000001</v>
      </c>
      <c r="G13" s="242">
        <f>+C13/$G$6</f>
        <v>3046434.2951632906</v>
      </c>
      <c r="I13" s="491"/>
    </row>
    <row r="14" spans="2:10" ht="13.5" thickBot="1">
      <c r="B14" s="192" t="s">
        <v>21</v>
      </c>
      <c r="C14" s="214">
        <f>SUM(C15:C17)</f>
        <v>1720240.06</v>
      </c>
      <c r="D14" s="214">
        <f>SUM(D15:D17)</f>
        <v>949988.2700000005</v>
      </c>
      <c r="F14" s="725">
        <f>SUM(F15:F17)</f>
        <v>6316283.3100000005</v>
      </c>
      <c r="G14" s="241">
        <f>SUM(G15:G17)</f>
        <v>1305556.6991029356</v>
      </c>
      <c r="I14" s="239">
        <f>SUM(I15:I17)</f>
        <v>6316283.310260002</v>
      </c>
      <c r="J14" s="495">
        <f>+(I14/F14)</f>
        <v>1.0000000000411635</v>
      </c>
    </row>
    <row r="15" spans="2:9" ht="12.75">
      <c r="B15" s="190" t="s">
        <v>173</v>
      </c>
      <c r="C15" s="212"/>
      <c r="D15" s="212">
        <f>'STOCK X ORIGEN'!G14</f>
        <v>949988.2700000005</v>
      </c>
      <c r="F15" s="723">
        <f>ROUND(+D15*$G$6,2)</f>
        <v>4596043.25</v>
      </c>
      <c r="G15" s="216">
        <f>+D15</f>
        <v>949988.2700000005</v>
      </c>
      <c r="I15" s="490">
        <f>+G15*$G$6</f>
        <v>4596043.250260002</v>
      </c>
    </row>
    <row r="16" spans="2:9" ht="13.5" thickBot="1">
      <c r="B16" s="193" t="s">
        <v>125</v>
      </c>
      <c r="C16" s="213">
        <f>'STOCK X ORIGEN'!G34</f>
        <v>1720240.06</v>
      </c>
      <c r="D16" s="213"/>
      <c r="F16" s="724">
        <f>+C16</f>
        <v>1720240.06</v>
      </c>
      <c r="G16" s="242">
        <f>+C16/$G$6</f>
        <v>355568.42910293513</v>
      </c>
      <c r="I16" s="491">
        <f>+F16</f>
        <v>1720240.06</v>
      </c>
    </row>
    <row r="17" spans="2:9" ht="13.5" hidden="1" thickBot="1">
      <c r="B17" s="395" t="s">
        <v>200</v>
      </c>
      <c r="C17" s="396">
        <f>'STOCK X ORIGEN'!G55</f>
        <v>0</v>
      </c>
      <c r="D17" s="396"/>
      <c r="F17" s="726">
        <f>+C17</f>
        <v>0</v>
      </c>
      <c r="G17" s="397">
        <f>+C17/$G$6</f>
        <v>0</v>
      </c>
      <c r="I17" s="492">
        <f>+F17</f>
        <v>0</v>
      </c>
    </row>
    <row r="18" spans="2:10" ht="13.5" thickBot="1">
      <c r="B18" s="192" t="s">
        <v>22</v>
      </c>
      <c r="C18" s="214">
        <f>SUM(C19:C23)</f>
        <v>13797502.99</v>
      </c>
      <c r="D18" s="214">
        <f>SUM(D19:D23)</f>
        <v>1494551.8626432105</v>
      </c>
      <c r="F18" s="725">
        <f>SUM(F19:F23)</f>
        <v>21028144.9</v>
      </c>
      <c r="G18" s="241">
        <f>SUM(G19:G23)</f>
        <v>4346454.092903649</v>
      </c>
      <c r="I18" s="239">
        <f>SUM(I19:I23)</f>
        <v>19877326.53146785</v>
      </c>
      <c r="J18" s="495">
        <f>+(I18/F18)</f>
        <v>0.9452724729639775</v>
      </c>
    </row>
    <row r="19" spans="2:9" ht="12.75">
      <c r="B19" s="190" t="s">
        <v>27</v>
      </c>
      <c r="C19" s="212">
        <f>'STOCK X ORIGEN'!G51</f>
        <v>0</v>
      </c>
      <c r="D19" s="212"/>
      <c r="F19" s="723">
        <f>+C19</f>
        <v>0</v>
      </c>
      <c r="G19" s="216">
        <f>+C19/$G$6</f>
        <v>0</v>
      </c>
      <c r="I19" s="490">
        <f>+F19</f>
        <v>0</v>
      </c>
    </row>
    <row r="20" spans="2:9" ht="12.75">
      <c r="B20" s="190" t="s">
        <v>200</v>
      </c>
      <c r="C20" s="212">
        <f>'STOCK X ORIGEN'!G56</f>
        <v>1150818.37</v>
      </c>
      <c r="D20" s="212"/>
      <c r="F20" s="723">
        <f>+C20</f>
        <v>1150818.37</v>
      </c>
      <c r="G20" s="216">
        <f>+C20/$G$6</f>
        <v>237870.68416701118</v>
      </c>
      <c r="I20" s="490"/>
    </row>
    <row r="21" spans="2:9" ht="12.75">
      <c r="B21" s="190" t="s">
        <v>173</v>
      </c>
      <c r="C21" s="212"/>
      <c r="D21" s="212">
        <f>'STOCK X ORIGEN'!G15</f>
        <v>1494551.8626432105</v>
      </c>
      <c r="F21" s="723">
        <f>ROUND(+D21*$G$6,2)</f>
        <v>7230641.91</v>
      </c>
      <c r="G21" s="216">
        <f>+D21</f>
        <v>1494551.8626432105</v>
      </c>
      <c r="I21" s="490">
        <f>+G21*$G$6</f>
        <v>7230641.911467852</v>
      </c>
    </row>
    <row r="22" spans="2:9" ht="12.75">
      <c r="B22" s="190" t="s">
        <v>130</v>
      </c>
      <c r="C22" s="212">
        <f>'STOCK X ORIGEN'!G67</f>
        <v>11986176.4</v>
      </c>
      <c r="D22" s="212"/>
      <c r="F22" s="723">
        <f>+C22</f>
        <v>11986176.4</v>
      </c>
      <c r="G22" s="216">
        <f>+C22/$G$6</f>
        <v>2477506.490285242</v>
      </c>
      <c r="I22" s="490">
        <f>+G22*$G$6</f>
        <v>11986176.4</v>
      </c>
    </row>
    <row r="23" spans="2:9" ht="13.5" thickBot="1">
      <c r="B23" s="193" t="s">
        <v>125</v>
      </c>
      <c r="C23" s="213">
        <f>'STOCK X ORIGEN'!G35</f>
        <v>660508.22</v>
      </c>
      <c r="D23" s="213"/>
      <c r="F23" s="724">
        <f>+C23</f>
        <v>660508.22</v>
      </c>
      <c r="G23" s="242">
        <f>+C23/$G$6</f>
        <v>136525.0558081852</v>
      </c>
      <c r="I23" s="491">
        <f>+F23</f>
        <v>660508.22</v>
      </c>
    </row>
    <row r="24" spans="2:10" ht="13.5" thickBot="1">
      <c r="B24" s="192" t="s">
        <v>16</v>
      </c>
      <c r="C24" s="214">
        <f>SUM(C25:C28)</f>
        <v>11728709.72</v>
      </c>
      <c r="D24" s="214">
        <f>SUM(D25:D28)</f>
        <v>3202678.870660736</v>
      </c>
      <c r="F24" s="725">
        <f>SUM(F25:F28)</f>
        <v>27223270.100000005</v>
      </c>
      <c r="G24" s="241">
        <f>SUM(G25:G28)</f>
        <v>5626967.77516673</v>
      </c>
      <c r="I24" s="239">
        <f>SUM(I25:I28)</f>
        <v>19519299.616256643</v>
      </c>
      <c r="J24" s="495">
        <f>+(I24/F24)</f>
        <v>0.7170078959858919</v>
      </c>
    </row>
    <row r="25" spans="2:9" ht="12.75">
      <c r="B25" s="190" t="s">
        <v>130</v>
      </c>
      <c r="C25" s="212">
        <f>'STOCK X ORIGEN'!G65</f>
        <v>731841.3</v>
      </c>
      <c r="D25" s="212"/>
      <c r="F25" s="723">
        <f>+C25</f>
        <v>731841.3</v>
      </c>
      <c r="G25" s="216">
        <f>+C25/$G$6</f>
        <v>151269.3881769326</v>
      </c>
      <c r="I25" s="490">
        <f>+F25</f>
        <v>731841.3</v>
      </c>
    </row>
    <row r="26" spans="2:9" ht="12.75">
      <c r="B26" s="190" t="s">
        <v>173</v>
      </c>
      <c r="C26" s="212"/>
      <c r="D26" s="212">
        <f>'STOCK X ORIGEN'!G16</f>
        <v>3202678.870660736</v>
      </c>
      <c r="F26" s="723">
        <f>ROUND(+D26*$G$6,2)</f>
        <v>15494560.38</v>
      </c>
      <c r="G26" s="216">
        <f>+D26</f>
        <v>3202678.870660736</v>
      </c>
      <c r="I26" s="490">
        <f>+G26*$G$6</f>
        <v>15494560.376256643</v>
      </c>
    </row>
    <row r="27" spans="2:9" ht="12.75">
      <c r="B27" s="276" t="s">
        <v>275</v>
      </c>
      <c r="C27" s="277">
        <f>'STOCK X ORIGEN'!G57</f>
        <v>7703970.48</v>
      </c>
      <c r="D27" s="277"/>
      <c r="F27" s="723">
        <f>C27</f>
        <v>7703970.48</v>
      </c>
      <c r="G27" s="216">
        <f>+C27/$G$6</f>
        <v>1592387.4493592393</v>
      </c>
      <c r="I27" s="490"/>
    </row>
    <row r="28" spans="2:9" ht="13.5" thickBot="1">
      <c r="B28" s="193" t="s">
        <v>125</v>
      </c>
      <c r="C28" s="213">
        <f>'STOCK X ORIGEN'!G36</f>
        <v>3292897.94</v>
      </c>
      <c r="D28" s="213"/>
      <c r="F28" s="724">
        <f>+C28</f>
        <v>3292897.94</v>
      </c>
      <c r="G28" s="242">
        <f>+C28/$G$6</f>
        <v>680632.0669698222</v>
      </c>
      <c r="I28" s="491">
        <f>+F28</f>
        <v>3292897.94</v>
      </c>
    </row>
    <row r="29" spans="2:10" ht="13.5" thickBot="1">
      <c r="B29" s="192" t="s">
        <v>15</v>
      </c>
      <c r="C29" s="214">
        <f>SUM(C30:C31)</f>
        <v>423112.72</v>
      </c>
      <c r="D29" s="214">
        <f>SUM(D30:D31)</f>
        <v>312957.8855998658</v>
      </c>
      <c r="F29" s="725">
        <f>SUM(F30:F31)</f>
        <v>1937202.97</v>
      </c>
      <c r="G29" s="241">
        <f>SUM(G30:G31)</f>
        <v>400414.0079644793</v>
      </c>
      <c r="I29" s="239">
        <f>SUM(I30:I31)</f>
        <v>1937202.9705321507</v>
      </c>
      <c r="J29" s="495">
        <f>+(I29/F29)</f>
        <v>1.0000000002747005</v>
      </c>
    </row>
    <row r="30" spans="2:9" ht="12.75">
      <c r="B30" s="190" t="s">
        <v>173</v>
      </c>
      <c r="C30" s="212"/>
      <c r="D30" s="212">
        <f>'STOCK X ORIGEN'!G17</f>
        <v>312957.8855998658</v>
      </c>
      <c r="F30" s="723">
        <f>ROUND(+D30*$G$6,2)</f>
        <v>1514090.25</v>
      </c>
      <c r="G30" s="216">
        <f>+D30</f>
        <v>312957.8855998658</v>
      </c>
      <c r="I30" s="490">
        <f>+G30*$G$6</f>
        <v>1514090.2505321507</v>
      </c>
    </row>
    <row r="31" spans="2:9" ht="13.5" thickBot="1">
      <c r="B31" s="193" t="s">
        <v>125</v>
      </c>
      <c r="C31" s="213">
        <f>'STOCK X ORIGEN'!G37</f>
        <v>423112.72</v>
      </c>
      <c r="D31" s="213"/>
      <c r="F31" s="724">
        <f>+C31</f>
        <v>423112.72</v>
      </c>
      <c r="G31" s="242">
        <f>+C31/$G$6</f>
        <v>87456.12236461347</v>
      </c>
      <c r="I31" s="491">
        <f>+F31</f>
        <v>423112.72</v>
      </c>
    </row>
    <row r="32" spans="2:10" ht="13.5" thickBot="1">
      <c r="B32" s="192" t="s">
        <v>14</v>
      </c>
      <c r="C32" s="214">
        <f>SUM(C33:C34)</f>
        <v>481423.68</v>
      </c>
      <c r="D32" s="214">
        <f>SUM(D33:D34)</f>
        <v>203146.0200000003</v>
      </c>
      <c r="F32" s="725">
        <f>SUM(F33:F34)</f>
        <v>1464244.1199999999</v>
      </c>
      <c r="G32" s="241">
        <f>SUM(G33:G34)</f>
        <v>302654.84182720166</v>
      </c>
      <c r="I32" s="239">
        <f>SUM(I33:I34)</f>
        <v>1464244.1247600014</v>
      </c>
      <c r="J32" s="495">
        <f>+(I32/F32)</f>
        <v>1.0000000032508252</v>
      </c>
    </row>
    <row r="33" spans="2:9" ht="12.75">
      <c r="B33" s="190" t="s">
        <v>173</v>
      </c>
      <c r="C33" s="212"/>
      <c r="D33" s="212">
        <f>'STOCK X ORIGEN'!G18</f>
        <v>203146.0200000003</v>
      </c>
      <c r="F33" s="723">
        <f>ROUND(+D33*$G$6,2)</f>
        <v>982820.44</v>
      </c>
      <c r="G33" s="216">
        <f>+D33</f>
        <v>203146.0200000003</v>
      </c>
      <c r="I33" s="490">
        <f>+G33*$G$6</f>
        <v>982820.4447600015</v>
      </c>
    </row>
    <row r="34" spans="2:9" ht="13.5" thickBot="1">
      <c r="B34" s="193" t="s">
        <v>125</v>
      </c>
      <c r="C34" s="213">
        <f>'STOCK X ORIGEN'!G38</f>
        <v>481423.68</v>
      </c>
      <c r="D34" s="213"/>
      <c r="F34" s="724">
        <f>+C34</f>
        <v>481423.68</v>
      </c>
      <c r="G34" s="242">
        <f>+C34/$G$6</f>
        <v>99508.82182720132</v>
      </c>
      <c r="I34" s="491">
        <f>+F34</f>
        <v>481423.68</v>
      </c>
    </row>
    <row r="35" spans="2:10" ht="13.5" thickBot="1">
      <c r="B35" s="192" t="s">
        <v>13</v>
      </c>
      <c r="C35" s="214">
        <f>SUM(C36:C37)</f>
        <v>2511005.16</v>
      </c>
      <c r="D35" s="214">
        <f>SUM(D36:D37)</f>
        <v>753584.0379999984</v>
      </c>
      <c r="F35" s="725">
        <f>SUM(F36:F37)</f>
        <v>6156844.74</v>
      </c>
      <c r="G35" s="241">
        <f>SUM(G36:G37)</f>
        <v>1272601.22692104</v>
      </c>
      <c r="I35" s="239">
        <f>SUM(I36:I37)</f>
        <v>6156844.735843993</v>
      </c>
      <c r="J35" s="495">
        <f>+(I35/F35)</f>
        <v>0.9999999993249777</v>
      </c>
    </row>
    <row r="36" spans="2:9" ht="12.75">
      <c r="B36" s="190" t="s">
        <v>173</v>
      </c>
      <c r="C36" s="212"/>
      <c r="D36" s="212">
        <f>'STOCK X ORIGEN'!G19</f>
        <v>753584.0379999984</v>
      </c>
      <c r="F36" s="723">
        <f>ROUND(+D36*$G$6,2)</f>
        <v>3645839.58</v>
      </c>
      <c r="G36" s="216">
        <f>+D36</f>
        <v>753584.0379999984</v>
      </c>
      <c r="I36" s="490">
        <f>+G36*$G$6</f>
        <v>3645839.5758439926</v>
      </c>
    </row>
    <row r="37" spans="2:9" ht="13.5" thickBot="1">
      <c r="B37" s="193" t="s">
        <v>125</v>
      </c>
      <c r="C37" s="213">
        <f>'STOCK X ORIGEN'!G39</f>
        <v>2511005.16</v>
      </c>
      <c r="D37" s="213"/>
      <c r="F37" s="724">
        <f>+C37</f>
        <v>2511005.16</v>
      </c>
      <c r="G37" s="242">
        <f>+C37/$G$6</f>
        <v>519017.1889210418</v>
      </c>
      <c r="I37" s="491">
        <f>+F37</f>
        <v>2511005.16</v>
      </c>
    </row>
    <row r="38" spans="2:10" ht="13.5" thickBot="1">
      <c r="B38" s="192" t="s">
        <v>9</v>
      </c>
      <c r="C38" s="214">
        <f>SUM(C39:C39)</f>
        <v>828797.81</v>
      </c>
      <c r="D38" s="214">
        <f>SUM(D39:D39)</f>
        <v>0</v>
      </c>
      <c r="F38" s="725">
        <f>SUM(F39:F39)</f>
        <v>828797.81</v>
      </c>
      <c r="G38" s="241">
        <f>SUM(G39:G39)</f>
        <v>171310.00620090947</v>
      </c>
      <c r="I38" s="239">
        <f>SUM(I39:I39)</f>
        <v>828797.81</v>
      </c>
      <c r="J38" s="495">
        <f>+(I38/F38)</f>
        <v>1</v>
      </c>
    </row>
    <row r="39" spans="2:9" ht="13.5" thickBot="1">
      <c r="B39" s="193" t="s">
        <v>125</v>
      </c>
      <c r="C39" s="213">
        <f>'STOCK X ORIGEN'!G40</f>
        <v>828797.81</v>
      </c>
      <c r="D39" s="213"/>
      <c r="F39" s="724">
        <f>+C39</f>
        <v>828797.81</v>
      </c>
      <c r="G39" s="242">
        <f>+C39/$G$6</f>
        <v>171310.00620090947</v>
      </c>
      <c r="I39" s="491">
        <f>+F39</f>
        <v>828797.81</v>
      </c>
    </row>
    <row r="40" spans="2:10" ht="13.5" thickBot="1">
      <c r="B40" s="194" t="s">
        <v>8</v>
      </c>
      <c r="C40" s="214">
        <f>SUM(C41:C43)</f>
        <v>14103155.66</v>
      </c>
      <c r="D40" s="214">
        <f>SUM(D41:D43)</f>
        <v>0</v>
      </c>
      <c r="F40" s="725">
        <f>SUM(F41:F43)</f>
        <v>14103155.66</v>
      </c>
      <c r="G40" s="241">
        <f>SUM(G41:G43)</f>
        <v>2915079.7147581642</v>
      </c>
      <c r="I40" s="239">
        <f>SUM(I41:I43)</f>
        <v>12548678.7</v>
      </c>
      <c r="J40" s="495">
        <f>+(I40/F40)</f>
        <v>0.8897780753843001</v>
      </c>
    </row>
    <row r="41" spans="2:9" ht="12.75">
      <c r="B41" s="190" t="s">
        <v>27</v>
      </c>
      <c r="C41" s="212">
        <f>'STOCK X ORIGEN'!G52</f>
        <v>10062285.32</v>
      </c>
      <c r="D41" s="212"/>
      <c r="F41" s="730">
        <f>+C41</f>
        <v>10062285.32</v>
      </c>
      <c r="G41" s="216">
        <f>+C41/$G$6</f>
        <v>2079844.0099214553</v>
      </c>
      <c r="I41" s="490">
        <f>+F41</f>
        <v>10062285.32</v>
      </c>
    </row>
    <row r="42" spans="2:9" ht="12.75">
      <c r="B42" s="276" t="s">
        <v>125</v>
      </c>
      <c r="C42" s="277">
        <f>'STOCK X ORIGEN'!G41</f>
        <v>2486393.38</v>
      </c>
      <c r="D42" s="277"/>
      <c r="F42" s="727">
        <f>+C42</f>
        <v>2486393.38</v>
      </c>
      <c r="G42" s="281">
        <f>+C42/$G$6</f>
        <v>513930.00826787925</v>
      </c>
      <c r="I42" s="494">
        <f>+F42</f>
        <v>2486393.38</v>
      </c>
    </row>
    <row r="43" spans="2:9" ht="13.5" thickBot="1">
      <c r="B43" s="280" t="s">
        <v>204</v>
      </c>
      <c r="C43" s="213">
        <f>'STOCK X ORIGEN'!G72</f>
        <v>1554476.96</v>
      </c>
      <c r="D43" s="213"/>
      <c r="F43" s="724">
        <f>+C43</f>
        <v>1554476.96</v>
      </c>
      <c r="G43" s="242">
        <f>+C43/$G$6</f>
        <v>321305.69656883006</v>
      </c>
      <c r="I43" s="491"/>
    </row>
    <row r="44" spans="2:10" ht="13.5" thickBot="1">
      <c r="B44" s="194" t="s">
        <v>3</v>
      </c>
      <c r="C44" s="214">
        <f>SUM(C45:C48)</f>
        <v>9801819.91</v>
      </c>
      <c r="D44" s="214">
        <f>SUM(D45:D48)</f>
        <v>703006.430763246</v>
      </c>
      <c r="F44" s="725">
        <f>SUM(F45:F48)</f>
        <v>13202965.02</v>
      </c>
      <c r="G44" s="241">
        <f>SUM(G45:G48)</f>
        <v>2729013.0264639487</v>
      </c>
      <c r="I44" s="239">
        <f>SUM(I45:I48)</f>
        <v>6146362.662032584</v>
      </c>
      <c r="J44" s="495">
        <f>+(I44/F44)</f>
        <v>0.46552896661636267</v>
      </c>
    </row>
    <row r="45" spans="2:9" ht="12.75">
      <c r="B45" s="189" t="s">
        <v>131</v>
      </c>
      <c r="C45" s="212">
        <f>'STOCK X ORIGEN'!G73</f>
        <v>3774453.9</v>
      </c>
      <c r="D45" s="212"/>
      <c r="F45" s="723">
        <f>+C45</f>
        <v>3774453.9</v>
      </c>
      <c r="G45" s="216">
        <f>+C45/$G$6</f>
        <v>780168.2306738321</v>
      </c>
      <c r="I45" s="490"/>
    </row>
    <row r="46" spans="2:9" ht="12.75">
      <c r="B46" s="190" t="s">
        <v>173</v>
      </c>
      <c r="C46" s="212"/>
      <c r="D46" s="212">
        <f>'STOCK X ORIGEN'!G20</f>
        <v>703006.430763246</v>
      </c>
      <c r="F46" s="723">
        <f>ROUND(+D46*$G$6,2)</f>
        <v>3401145.11</v>
      </c>
      <c r="G46" s="216">
        <f>+D46</f>
        <v>703006.430763246</v>
      </c>
      <c r="I46" s="490">
        <f>+G46*$G$6</f>
        <v>3401145.1120325844</v>
      </c>
    </row>
    <row r="47" spans="2:9" ht="12.75">
      <c r="B47" s="276" t="s">
        <v>200</v>
      </c>
      <c r="C47" s="277">
        <f>'STOCK X ORIGEN'!G58</f>
        <v>3282148.46</v>
      </c>
      <c r="D47" s="277"/>
      <c r="F47" s="723">
        <f>+C47</f>
        <v>3282148.46</v>
      </c>
      <c r="G47" s="216">
        <f>+C47/$G$6</f>
        <v>678410.1818933444</v>
      </c>
      <c r="I47" s="490"/>
    </row>
    <row r="48" spans="2:9" ht="13.5" thickBot="1">
      <c r="B48" s="193" t="s">
        <v>125</v>
      </c>
      <c r="C48" s="213">
        <f>'STOCK X ORIGEN'!G42</f>
        <v>2745217.55</v>
      </c>
      <c r="D48" s="213"/>
      <c r="F48" s="724">
        <f>+C48</f>
        <v>2745217.55</v>
      </c>
      <c r="G48" s="242">
        <f>+C48/$G$6</f>
        <v>567428.1831335262</v>
      </c>
      <c r="I48" s="491">
        <f>+F48</f>
        <v>2745217.55</v>
      </c>
    </row>
    <row r="49" spans="2:10" ht="13.5" thickBot="1">
      <c r="B49" s="194" t="s">
        <v>5</v>
      </c>
      <c r="C49" s="214">
        <f>C50</f>
        <v>2016727.11</v>
      </c>
      <c r="D49" s="214">
        <f>D50</f>
        <v>0</v>
      </c>
      <c r="F49" s="725">
        <f>F50</f>
        <v>2016727.11</v>
      </c>
      <c r="G49" s="241">
        <f>G50</f>
        <v>416851.407606449</v>
      </c>
      <c r="I49" s="239">
        <f>I50</f>
        <v>2016727.11</v>
      </c>
      <c r="J49" s="495">
        <f>+(I49/F49)</f>
        <v>1</v>
      </c>
    </row>
    <row r="50" spans="2:9" ht="13.5" thickBot="1">
      <c r="B50" s="193" t="s">
        <v>125</v>
      </c>
      <c r="C50" s="213">
        <f>'STOCK X ORIGEN'!G43</f>
        <v>2016727.11</v>
      </c>
      <c r="D50" s="213"/>
      <c r="F50" s="724">
        <f>C50+D50</f>
        <v>2016727.11</v>
      </c>
      <c r="G50" s="242">
        <f>+C50/$G$6</f>
        <v>416851.407606449</v>
      </c>
      <c r="I50" s="491">
        <f>F50</f>
        <v>2016727.11</v>
      </c>
    </row>
    <row r="51" spans="2:10" ht="13.5" thickBot="1">
      <c r="B51" s="194" t="s">
        <v>7</v>
      </c>
      <c r="C51" s="214">
        <f>SUM(C52:C53)</f>
        <v>1043118.54</v>
      </c>
      <c r="D51" s="214">
        <f>SUM(D52:D53)</f>
        <v>0</v>
      </c>
      <c r="F51" s="725">
        <f>SUM(F52:F53)</f>
        <v>1043118.54</v>
      </c>
      <c r="G51" s="241">
        <f>SUM(G52:G53)</f>
        <v>215609.45431996693</v>
      </c>
      <c r="I51" s="239">
        <f>SUM(I52:I53)</f>
        <v>1043118.54</v>
      </c>
      <c r="J51" s="495">
        <f>+(I51/F51)</f>
        <v>1</v>
      </c>
    </row>
    <row r="52" spans="2:9" ht="12.75">
      <c r="B52" s="189" t="s">
        <v>124</v>
      </c>
      <c r="C52" s="212"/>
      <c r="D52" s="212">
        <f>+'STOCK X ORIGEN'!G26</f>
        <v>0</v>
      </c>
      <c r="F52" s="723">
        <f>+D52*$G$6</f>
        <v>0</v>
      </c>
      <c r="G52" s="216">
        <f>+D52</f>
        <v>0</v>
      </c>
      <c r="I52" s="490">
        <f>+F52</f>
        <v>0</v>
      </c>
    </row>
    <row r="53" spans="2:9" ht="13.5" thickBot="1">
      <c r="B53" s="193" t="s">
        <v>125</v>
      </c>
      <c r="C53" s="213">
        <f>'STOCK X ORIGEN'!G44</f>
        <v>1043118.54</v>
      </c>
      <c r="D53" s="213"/>
      <c r="F53" s="724">
        <f>+C53</f>
        <v>1043118.54</v>
      </c>
      <c r="G53" s="242">
        <f>+C53/$G$6</f>
        <v>215609.45431996693</v>
      </c>
      <c r="I53" s="491">
        <f>+F53</f>
        <v>1043118.54</v>
      </c>
    </row>
    <row r="54" spans="2:10" ht="13.5" thickBot="1">
      <c r="B54" s="194" t="s">
        <v>23</v>
      </c>
      <c r="C54" s="461">
        <f>C55</f>
        <v>1006724.01</v>
      </c>
      <c r="D54" s="215">
        <f>D55</f>
        <v>0</v>
      </c>
      <c r="F54" s="728">
        <f>F55</f>
        <v>1006724.01</v>
      </c>
      <c r="G54" s="394">
        <f>G55</f>
        <v>208086.81479950392</v>
      </c>
      <c r="I54" s="493">
        <f>I55</f>
        <v>0</v>
      </c>
      <c r="J54" s="495">
        <f>+(I54/F54)</f>
        <v>0</v>
      </c>
    </row>
    <row r="55" spans="2:9" ht="13.5" thickBot="1">
      <c r="B55" s="393" t="s">
        <v>200</v>
      </c>
      <c r="C55" s="213">
        <f>'STOCK X ORIGEN'!G59</f>
        <v>1006724.01</v>
      </c>
      <c r="D55" s="213"/>
      <c r="F55" s="724">
        <f>+C55</f>
        <v>1006724.01</v>
      </c>
      <c r="G55" s="242">
        <f>+C55/$G$6</f>
        <v>208086.81479950392</v>
      </c>
      <c r="I55" s="491"/>
    </row>
    <row r="56" spans="2:10" ht="13.5" thickBot="1">
      <c r="B56" s="194" t="s">
        <v>12</v>
      </c>
      <c r="C56" s="214">
        <f>SUM(C57:C60)</f>
        <v>14854750.670000002</v>
      </c>
      <c r="D56" s="214">
        <f>SUM(D57:D60)</f>
        <v>1124298.9033385797</v>
      </c>
      <c r="F56" s="725">
        <f>SUM(F57:F60)</f>
        <v>20294108.76</v>
      </c>
      <c r="G56" s="241">
        <f>SUM(G57:G60)</f>
        <v>4194731.038518406</v>
      </c>
      <c r="I56" s="540">
        <f>SUM(I57:I60)</f>
        <v>7387979.554352049</v>
      </c>
      <c r="J56" s="495">
        <f>+(I56/F56)</f>
        <v>0.364045528765169</v>
      </c>
    </row>
    <row r="57" spans="2:11" ht="12.75">
      <c r="B57" s="190" t="s">
        <v>173</v>
      </c>
      <c r="C57" s="212"/>
      <c r="D57" s="212">
        <f>'STOCK X ORIGEN'!G21</f>
        <v>1124298.9033385797</v>
      </c>
      <c r="F57" s="723">
        <f>ROUND(+D57*$G$6,2)</f>
        <v>5439358.09</v>
      </c>
      <c r="G57" s="216">
        <f>+D57</f>
        <v>1124298.9033385797</v>
      </c>
      <c r="I57" s="490">
        <f>+G57*$G$6</f>
        <v>5439358.094352049</v>
      </c>
      <c r="K57" s="463"/>
    </row>
    <row r="58" spans="2:11" ht="12.75">
      <c r="B58" s="276" t="s">
        <v>125</v>
      </c>
      <c r="C58" s="277">
        <f>'STOCK X ORIGEN'!G45</f>
        <v>1948621.46</v>
      </c>
      <c r="D58" s="277"/>
      <c r="F58" s="727">
        <f>+C58</f>
        <v>1948621.46</v>
      </c>
      <c r="G58" s="281">
        <f>+C58/$G$6</f>
        <v>402774.17527904094</v>
      </c>
      <c r="I58" s="490">
        <f>+F58</f>
        <v>1948621.46</v>
      </c>
      <c r="K58" s="463"/>
    </row>
    <row r="59" spans="2:11" ht="12.75">
      <c r="B59" s="190" t="s">
        <v>199</v>
      </c>
      <c r="C59" s="212">
        <f>'STOCK X ORIGEN'!G74</f>
        <v>2330717</v>
      </c>
      <c r="D59" s="212"/>
      <c r="F59" s="723">
        <f>+C59</f>
        <v>2330717</v>
      </c>
      <c r="G59" s="216">
        <f>+C59/$G$6</f>
        <v>481752.17031831335</v>
      </c>
      <c r="I59" s="490"/>
      <c r="K59" s="463"/>
    </row>
    <row r="60" spans="2:9" ht="13.5" thickBot="1">
      <c r="B60" s="395" t="s">
        <v>200</v>
      </c>
      <c r="C60" s="396">
        <f>'STOCK X ORIGEN'!G60</f>
        <v>10575412.21</v>
      </c>
      <c r="D60" s="396"/>
      <c r="F60" s="726">
        <f>+C60</f>
        <v>10575412.21</v>
      </c>
      <c r="G60" s="397">
        <f>+C60/$G$6</f>
        <v>2185905.7895824723</v>
      </c>
      <c r="I60" s="491"/>
    </row>
    <row r="61" spans="2:10" ht="13.5" thickBot="1">
      <c r="B61" s="194" t="s">
        <v>4</v>
      </c>
      <c r="C61" s="214">
        <f>SUM(C62:C64)</f>
        <v>4155416.47</v>
      </c>
      <c r="D61" s="214">
        <f>SUM(D62:D64)</f>
        <v>843000.0078125033</v>
      </c>
      <c r="F61" s="725">
        <f>SUM(F62:F64)</f>
        <v>8233850.51</v>
      </c>
      <c r="G61" s="241">
        <f>SUM(G62:G64)</f>
        <v>1701912.0520456575</v>
      </c>
      <c r="I61" s="239">
        <f>SUM(I62:I64)</f>
        <v>5352710.657796891</v>
      </c>
      <c r="J61" s="495">
        <f>+(I61/F61)</f>
        <v>0.6500859654053752</v>
      </c>
    </row>
    <row r="62" spans="2:9" ht="12.75">
      <c r="B62" s="190" t="s">
        <v>173</v>
      </c>
      <c r="C62" s="212"/>
      <c r="D62" s="212">
        <f>'STOCK X ORIGEN'!G22</f>
        <v>843000.0078125033</v>
      </c>
      <c r="F62" s="723">
        <f>ROUND(+D62*$G$6,2)</f>
        <v>4078434.04</v>
      </c>
      <c r="G62" s="216">
        <f>+D62</f>
        <v>843000.0078125033</v>
      </c>
      <c r="I62" s="490">
        <f>+G62*$G$6</f>
        <v>4078434.037796891</v>
      </c>
    </row>
    <row r="63" spans="2:9" ht="12.75">
      <c r="B63" s="190" t="s">
        <v>125</v>
      </c>
      <c r="C63" s="212">
        <f>'STOCK X ORIGEN'!G46</f>
        <v>1274276.62</v>
      </c>
      <c r="D63" s="212"/>
      <c r="F63" s="723">
        <f>+C63</f>
        <v>1274276.62</v>
      </c>
      <c r="G63" s="216">
        <f>+C63/$G$6</f>
        <v>263389.1318726747</v>
      </c>
      <c r="I63" s="490">
        <f>+F63</f>
        <v>1274276.62</v>
      </c>
    </row>
    <row r="64" spans="2:9" ht="13.5" thickBot="1">
      <c r="B64" s="193" t="s">
        <v>200</v>
      </c>
      <c r="C64" s="213">
        <f>'STOCK X ORIGEN'!G61+'STOCK X ORIGEN'!G62</f>
        <v>2881139.85</v>
      </c>
      <c r="D64" s="213"/>
      <c r="F64" s="724">
        <f>+C64</f>
        <v>2881139.85</v>
      </c>
      <c r="G64" s="242">
        <f>+C64/$G$6</f>
        <v>595522.9123604796</v>
      </c>
      <c r="I64" s="491"/>
    </row>
    <row r="65" spans="2:10" ht="13.5" thickBot="1">
      <c r="B65" s="194" t="s">
        <v>10</v>
      </c>
      <c r="C65" s="214">
        <f>SUM(C66:C69)</f>
        <v>5374756.6</v>
      </c>
      <c r="D65" s="214">
        <f>SUM(D66:D69)</f>
        <v>256800.24000000124</v>
      </c>
      <c r="F65" s="725">
        <f>SUM(F66:F69)</f>
        <v>6617156.159999999</v>
      </c>
      <c r="G65" s="241">
        <f>SUM(G66:G69)</f>
        <v>1367746.2094088478</v>
      </c>
      <c r="I65" s="239">
        <f>SUM(I66:I69)</f>
        <v>2502817.4511200064</v>
      </c>
      <c r="J65" s="495">
        <f>+(I65/F65)</f>
        <v>0.37823158326673173</v>
      </c>
    </row>
    <row r="66" spans="2:9" ht="12.75">
      <c r="B66" s="190" t="s">
        <v>173</v>
      </c>
      <c r="C66" s="212"/>
      <c r="D66" s="212">
        <f>'STOCK X ORIGEN'!G23</f>
        <v>256800.24000000124</v>
      </c>
      <c r="F66" s="723">
        <f>ROUND(+D66*$G$6,2)</f>
        <v>1242399.56</v>
      </c>
      <c r="G66" s="216">
        <f>+D66</f>
        <v>256800.24000000124</v>
      </c>
      <c r="I66" s="490">
        <f>+G66*$G$6</f>
        <v>1242399.561120006</v>
      </c>
    </row>
    <row r="67" spans="2:9" ht="12.75">
      <c r="B67" s="276" t="s">
        <v>125</v>
      </c>
      <c r="C67" s="277">
        <f>'STOCK X ORIGEN'!G47</f>
        <v>1121914.92</v>
      </c>
      <c r="D67" s="277"/>
      <c r="F67" s="727">
        <f>+C67</f>
        <v>1121914.92</v>
      </c>
      <c r="G67" s="281">
        <f>+C67/$G$6</f>
        <v>231896.42827614714</v>
      </c>
      <c r="I67" s="494">
        <f>+F67</f>
        <v>1121914.92</v>
      </c>
    </row>
    <row r="68" spans="2:9" ht="12.75">
      <c r="B68" s="190" t="s">
        <v>200</v>
      </c>
      <c r="C68" s="212">
        <f>'STOCK X ORIGEN'!G63</f>
        <v>4114338.71</v>
      </c>
      <c r="D68" s="212"/>
      <c r="F68" s="727">
        <f>+C68</f>
        <v>4114338.71</v>
      </c>
      <c r="G68" s="281">
        <f>+C68/$G$6</f>
        <v>850421.39520463</v>
      </c>
      <c r="I68" s="494"/>
    </row>
    <row r="69" spans="2:9" ht="13.5" thickBot="1">
      <c r="B69" s="193" t="s">
        <v>130</v>
      </c>
      <c r="C69" s="213">
        <f>'STOCK X ORIGEN'!G66</f>
        <v>138502.97</v>
      </c>
      <c r="D69" s="213"/>
      <c r="F69" s="724">
        <f>+C69</f>
        <v>138502.97</v>
      </c>
      <c r="G69" s="242">
        <f>+C69/$G$6</f>
        <v>28628.14592806945</v>
      </c>
      <c r="I69" s="491">
        <f>+F69</f>
        <v>138502.97</v>
      </c>
    </row>
    <row r="70" spans="2:10" ht="13.5" thickBot="1">
      <c r="B70" s="194" t="s">
        <v>11</v>
      </c>
      <c r="C70" s="214">
        <f>SUM(C71:C73)</f>
        <v>2160747.96</v>
      </c>
      <c r="D70" s="214">
        <f>SUM(D71:D73)</f>
        <v>3133879.1599999988</v>
      </c>
      <c r="F70" s="725">
        <f>SUM(F71:F73)</f>
        <v>17322455.34</v>
      </c>
      <c r="G70" s="241">
        <f>SUM(G71:G73)</f>
        <v>3580499.2426787918</v>
      </c>
      <c r="I70" s="239">
        <f>SUM(I71:I73)</f>
        <v>17322455.336079992</v>
      </c>
      <c r="J70" s="495">
        <f>+(I70/F70)</f>
        <v>0.9999999997737037</v>
      </c>
    </row>
    <row r="71" spans="2:9" ht="12.75">
      <c r="B71" s="190" t="s">
        <v>27</v>
      </c>
      <c r="C71" s="212">
        <f>'STOCK X ORIGEN'!G53</f>
        <v>625302.71</v>
      </c>
      <c r="D71" s="212"/>
      <c r="F71" s="723">
        <f>+C71</f>
        <v>625302.71</v>
      </c>
      <c r="G71" s="216">
        <f>+C71/$G$6</f>
        <v>129248.18313352624</v>
      </c>
      <c r="I71" s="490">
        <f>+F71</f>
        <v>625302.71</v>
      </c>
    </row>
    <row r="72" spans="2:9" ht="12.75">
      <c r="B72" s="190" t="s">
        <v>173</v>
      </c>
      <c r="C72" s="212"/>
      <c r="D72" s="212">
        <f>'STOCK X ORIGEN'!G24</f>
        <v>3133879.1599999988</v>
      </c>
      <c r="F72" s="723">
        <f>ROUND(+D72*$G$6,2)</f>
        <v>15161707.38</v>
      </c>
      <c r="G72" s="216">
        <f>+D72</f>
        <v>3133879.1599999988</v>
      </c>
      <c r="I72" s="490">
        <f>+G72*$G$6</f>
        <v>15161707.376079993</v>
      </c>
    </row>
    <row r="73" spans="2:9" ht="13.5" thickBot="1">
      <c r="B73" s="193" t="s">
        <v>125</v>
      </c>
      <c r="C73" s="213">
        <f>'STOCK X ORIGEN'!G48</f>
        <v>1535445.25</v>
      </c>
      <c r="D73" s="213"/>
      <c r="F73" s="724">
        <f>+C73</f>
        <v>1535445.25</v>
      </c>
      <c r="G73" s="242">
        <f>+C73/$G$6</f>
        <v>317371.89954526664</v>
      </c>
      <c r="I73" s="491">
        <f>+F73</f>
        <v>1535445.25</v>
      </c>
    </row>
    <row r="74" spans="2:10" ht="13.5" thickBot="1">
      <c r="B74" s="158" t="s">
        <v>6</v>
      </c>
      <c r="C74" s="214">
        <f>SUM(C75:C76)</f>
        <v>1421055.7</v>
      </c>
      <c r="D74" s="214">
        <f>SUM(D75:D76)</f>
        <v>0</v>
      </c>
      <c r="F74" s="725">
        <f>SUM(F75:F76)</f>
        <v>1421055.7</v>
      </c>
      <c r="G74" s="241">
        <f>SUM(G75:G76)</f>
        <v>293727.92476229847</v>
      </c>
      <c r="I74" s="239">
        <f>SUM(I75:I76)</f>
        <v>1421055.7</v>
      </c>
      <c r="J74" s="495">
        <f>+(I74/F74)</f>
        <v>1</v>
      </c>
    </row>
    <row r="75" spans="2:9" ht="12.75">
      <c r="B75" s="190" t="s">
        <v>125</v>
      </c>
      <c r="C75" s="212">
        <f>'STOCK X ORIGEN'!G49</f>
        <v>466963.7</v>
      </c>
      <c r="D75" s="212"/>
      <c r="F75" s="723">
        <f>+C75</f>
        <v>466963.7</v>
      </c>
      <c r="G75" s="216">
        <f>+C75/$G$6</f>
        <v>96519.98759818106</v>
      </c>
      <c r="I75" s="490">
        <f>+F75</f>
        <v>466963.7</v>
      </c>
    </row>
    <row r="76" spans="2:9" ht="13.5" thickBot="1">
      <c r="B76" s="190" t="s">
        <v>189</v>
      </c>
      <c r="C76" s="430">
        <f>'STOCK X ORIGEN'!G75</f>
        <v>954092</v>
      </c>
      <c r="D76" s="213"/>
      <c r="F76" s="723">
        <f>+C76</f>
        <v>954092</v>
      </c>
      <c r="G76" s="216">
        <f>+C76/$G$6</f>
        <v>197207.9371641174</v>
      </c>
      <c r="I76" s="490">
        <f>+F76</f>
        <v>954092</v>
      </c>
    </row>
    <row r="77" spans="2:10" ht="13.5" thickBot="1">
      <c r="B77" s="243" t="s">
        <v>151</v>
      </c>
      <c r="C77" s="244">
        <f>C9+C14+C18+C24+C29+C32+C35+C44+C49+C51+C54+C56+C61+C65+C70+C74+C38+C40</f>
        <v>108635971.04999998</v>
      </c>
      <c r="D77" s="245">
        <f>D9+D14+D18+D24+D29+D32+D35+D44+D49+D51+D56+D61+D65+D70+D74+D38+D40</f>
        <v>14547530.381287318</v>
      </c>
      <c r="E77" s="1"/>
      <c r="F77" s="729">
        <f>F9+F14+F18+F24+F29+F32+F35+F44+F49+F51+F54+F56+F61+F65+F70+F74+F38+F40</f>
        <v>179016923.03</v>
      </c>
      <c r="G77" s="245">
        <f>G9+G14+G18+G24+G29+G32+G35+G44+G49+G51+G54+G56+G61+G65+G70+G74+G38+G40</f>
        <v>37002257.75830262</v>
      </c>
      <c r="I77" s="261">
        <f>I9+I14+I18+I24+I29+I32+I35+I44+I49+I51+I54+I56+I61+I65+I70+I74+I38+I40</f>
        <v>125904073.96466804</v>
      </c>
      <c r="J77" s="495">
        <f>+(I77/F77)</f>
        <v>0.7033082226732764</v>
      </c>
    </row>
    <row r="78" ht="12.75">
      <c r="C78" s="13"/>
    </row>
    <row r="79" spans="3:12" ht="12.75" hidden="1">
      <c r="C79" s="462">
        <f>+C77-'STOCK X ORIGEN'!G76</f>
        <v>0</v>
      </c>
      <c r="D79" s="462">
        <f>+D77-'STOCK X ORIGEN'!G27</f>
        <v>0</v>
      </c>
      <c r="F79" s="462">
        <f>+F77-'STOCK X ORIGEN'!I78</f>
        <v>-0.004668056964874268</v>
      </c>
      <c r="G79" s="462">
        <f>+G77-'STOCK X ORIGEN'!H78</f>
        <v>0</v>
      </c>
      <c r="I79" s="462">
        <f>+I77-'STOCK X TIPO DEUDA'!F11</f>
        <v>0</v>
      </c>
      <c r="J79" s="166"/>
      <c r="K79" s="166"/>
      <c r="L79" s="166"/>
    </row>
    <row r="80" spans="3:7" ht="12.75">
      <c r="C80" s="13"/>
      <c r="D80" s="13"/>
      <c r="E80" s="290"/>
      <c r="F80" s="463"/>
      <c r="G80" s="463"/>
    </row>
    <row r="81" spans="3:9" ht="12.75">
      <c r="C81" s="13"/>
      <c r="F81" s="463"/>
      <c r="G81" s="463"/>
      <c r="I81" s="13"/>
    </row>
    <row r="82" ht="12.75">
      <c r="I82" s="13"/>
    </row>
  </sheetData>
  <sheetProtection/>
  <mergeCells count="5">
    <mergeCell ref="J7:J8"/>
    <mergeCell ref="B7:B8"/>
    <mergeCell ref="C7:D7"/>
    <mergeCell ref="F7:G7"/>
    <mergeCell ref="I7:I8"/>
  </mergeCells>
  <printOptions horizontalCentered="1"/>
  <pageMargins left="0" right="0" top="0" bottom="0" header="0" footer="0.1968503937007874"/>
  <pageSetup firstPageNumber="13" useFirstPageNumber="1" horizontalDpi="600" verticalDpi="600" orientation="portrait" paperSize="9" scale="80" r:id="rId2"/>
  <headerFooter alignWithMargins="0">
    <oddFooter>&amp;CPagina Nº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dgdp01</cp:lastModifiedBy>
  <cp:lastPrinted>2013-03-11T19:04:11Z</cp:lastPrinted>
  <dcterms:created xsi:type="dcterms:W3CDTF">2007-11-01T13:41:39Z</dcterms:created>
  <dcterms:modified xsi:type="dcterms:W3CDTF">2013-04-24T19:34:12Z</dcterms:modified>
  <cp:category/>
  <cp:version/>
  <cp:contentType/>
  <cp:contentStatus/>
</cp:coreProperties>
</file>